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o\Desktop\20180824-www\"/>
    </mc:Choice>
  </mc:AlternateContent>
  <bookViews>
    <workbookView xWindow="0" yWindow="0" windowWidth="27870" windowHeight="13020" tabRatio="838" firstSheet="12" activeTab="20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Rozpočet - vývoj Aplikácií" sheetId="19" r:id="rId14"/>
    <sheet name="Rozpočet - HW a licencie" sheetId="27" r:id="rId15"/>
    <sheet name="Slepý rozpočet" sheetId="26" r:id="rId16"/>
    <sheet name="Faktory" sheetId="1" r:id="rId17"/>
    <sheet name="Procesné mapy" sheetId="22" r:id="rId18"/>
    <sheet name="Procesy - AS IS" sheetId="23" r:id="rId19"/>
    <sheet name="Procesy - TO BE" sheetId="24" r:id="rId20"/>
    <sheet name="Rozdelenie prínosov" sheetId="14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4" l="1"/>
  <c r="E137" i="14"/>
  <c r="E136" i="14"/>
  <c r="E135" i="14"/>
  <c r="E134" i="14"/>
  <c r="E133" i="14"/>
  <c r="E132" i="14"/>
  <c r="E131" i="14"/>
  <c r="E130" i="14"/>
  <c r="E129" i="14"/>
  <c r="E128" i="14"/>
  <c r="D128" i="14"/>
  <c r="E127" i="14"/>
  <c r="D127" i="14" s="1"/>
  <c r="E126" i="14"/>
  <c r="D126" i="14"/>
  <c r="E125" i="14"/>
  <c r="D125" i="14" s="1"/>
  <c r="E124" i="14"/>
  <c r="D124" i="14"/>
  <c r="E123" i="14"/>
  <c r="D123" i="14" s="1"/>
  <c r="E122" i="14"/>
  <c r="D122" i="14"/>
  <c r="E121" i="14"/>
  <c r="D121" i="14" s="1"/>
  <c r="E120" i="14"/>
  <c r="D120" i="14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/>
  <c r="E92" i="14"/>
  <c r="D92" i="14" s="1"/>
  <c r="E91" i="14"/>
  <c r="D91" i="14"/>
  <c r="E90" i="14"/>
  <c r="D90" i="14" s="1"/>
  <c r="E89" i="14"/>
  <c r="D89" i="14"/>
  <c r="E88" i="14"/>
  <c r="D88" i="14" s="1"/>
  <c r="E87" i="14"/>
  <c r="D87" i="14"/>
  <c r="E86" i="14"/>
  <c r="D86" i="14" s="1"/>
  <c r="E85" i="14"/>
  <c r="D85" i="14"/>
  <c r="E84" i="14"/>
  <c r="D84" i="14" s="1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/>
  <c r="E57" i="14"/>
  <c r="D57" i="14" s="1"/>
  <c r="E56" i="14"/>
  <c r="D56" i="14"/>
  <c r="E55" i="14"/>
  <c r="D55" i="14" s="1"/>
  <c r="E54" i="14"/>
  <c r="D54" i="14"/>
  <c r="E53" i="14"/>
  <c r="D53" i="14" s="1"/>
  <c r="E52" i="14"/>
  <c r="D52" i="14"/>
  <c r="E51" i="14"/>
  <c r="D51" i="14" s="1"/>
  <c r="E50" i="14"/>
  <c r="D50" i="14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 s="1"/>
  <c r="E22" i="14"/>
  <c r="D22" i="14"/>
  <c r="E21" i="14"/>
  <c r="D21" i="14" s="1"/>
  <c r="E20" i="14"/>
  <c r="D20" i="14" s="1"/>
  <c r="E19" i="14"/>
  <c r="D19" i="14" s="1"/>
  <c r="E18" i="14"/>
  <c r="D18" i="14" s="1"/>
  <c r="E17" i="14"/>
  <c r="D17" i="14" s="1"/>
  <c r="E16" i="14"/>
  <c r="D16" i="14" s="1"/>
  <c r="E15" i="14"/>
  <c r="D15" i="14" s="1"/>
  <c r="E14" i="14"/>
  <c r="D14" i="14"/>
  <c r="E13" i="14"/>
  <c r="E12" i="14"/>
  <c r="E11" i="14"/>
  <c r="E10" i="14"/>
  <c r="E9" i="14"/>
  <c r="E8" i="14"/>
  <c r="E7" i="14"/>
  <c r="E6" i="14"/>
  <c r="E5" i="14"/>
  <c r="E4" i="14"/>
  <c r="A2" i="14"/>
  <c r="D8" i="1"/>
  <c r="AP12" i="26"/>
  <c r="AO12" i="26"/>
  <c r="AN12" i="26"/>
  <c r="AM12" i="26"/>
  <c r="AF12" i="26"/>
  <c r="AE12" i="26"/>
  <c r="AD12" i="26"/>
  <c r="AC12" i="26"/>
  <c r="AP11" i="26"/>
  <c r="AH11" i="26"/>
  <c r="AG11" i="26"/>
  <c r="AI11" i="26" s="1"/>
  <c r="AP10" i="26"/>
  <c r="AH10" i="26"/>
  <c r="AG10" i="26"/>
  <c r="AI10" i="26" s="1"/>
  <c r="AP9" i="26"/>
  <c r="AH9" i="26"/>
  <c r="AG9" i="26"/>
  <c r="AI9" i="26" s="1"/>
  <c r="AP8" i="26"/>
  <c r="AH8" i="26"/>
  <c r="AG8" i="26"/>
  <c r="AI8" i="26" s="1"/>
  <c r="AP7" i="26"/>
  <c r="AH7" i="26"/>
  <c r="AG7" i="26"/>
  <c r="AI7" i="26" s="1"/>
  <c r="AP6" i="26"/>
  <c r="AH6" i="26"/>
  <c r="AH12" i="26" s="1"/>
  <c r="AG6" i="26"/>
  <c r="AG12" i="26" s="1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AA46" i="19"/>
  <c r="AG46" i="19" s="1"/>
  <c r="Z46" i="19"/>
  <c r="AF46" i="19" s="1"/>
  <c r="AA44" i="19"/>
  <c r="AG44" i="19" s="1"/>
  <c r="Z44" i="19"/>
  <c r="AF44" i="19" s="1"/>
  <c r="AA43" i="19"/>
  <c r="AG43" i="19" s="1"/>
  <c r="Z43" i="19"/>
  <c r="AF43" i="19" s="1"/>
  <c r="AF42" i="19"/>
  <c r="AA42" i="19"/>
  <c r="AG42" i="19" s="1"/>
  <c r="Z42" i="19"/>
  <c r="AA41" i="19"/>
  <c r="AG41" i="19" s="1"/>
  <c r="Z41" i="19"/>
  <c r="AF41" i="19" s="1"/>
  <c r="AA40" i="19"/>
  <c r="AG40" i="19" s="1"/>
  <c r="Z40" i="19"/>
  <c r="AF40" i="19" s="1"/>
  <c r="AA38" i="19"/>
  <c r="AG38" i="19" s="1"/>
  <c r="Z38" i="19"/>
  <c r="AF38" i="19" s="1"/>
  <c r="AF37" i="19"/>
  <c r="AA37" i="19"/>
  <c r="AG37" i="19" s="1"/>
  <c r="Z37" i="19"/>
  <c r="AA36" i="19"/>
  <c r="AG36" i="19" s="1"/>
  <c r="Z36" i="19"/>
  <c r="AF36" i="19" s="1"/>
  <c r="AA35" i="19"/>
  <c r="AG35" i="19" s="1"/>
  <c r="Z35" i="19"/>
  <c r="AF35" i="19" s="1"/>
  <c r="AA34" i="19"/>
  <c r="AG34" i="19" s="1"/>
  <c r="Z34" i="19"/>
  <c r="AF34" i="19" s="1"/>
  <c r="AF32" i="19"/>
  <c r="AA32" i="19"/>
  <c r="AG32" i="19" s="1"/>
  <c r="Z32" i="19"/>
  <c r="AA31" i="19"/>
  <c r="AG31" i="19" s="1"/>
  <c r="Z31" i="19"/>
  <c r="AF31" i="19" s="1"/>
  <c r="AA30" i="19"/>
  <c r="AG30" i="19" s="1"/>
  <c r="Z30" i="19"/>
  <c r="AF30" i="19" s="1"/>
  <c r="AA29" i="19"/>
  <c r="AG29" i="19" s="1"/>
  <c r="Z29" i="19"/>
  <c r="AF29" i="19" s="1"/>
  <c r="AF28" i="19"/>
  <c r="AA28" i="19"/>
  <c r="AG28" i="19" s="1"/>
  <c r="Z28" i="19"/>
  <c r="AF26" i="19"/>
  <c r="AA26" i="19"/>
  <c r="AG26" i="19" s="1"/>
  <c r="Z26" i="19"/>
  <c r="AA25" i="19"/>
  <c r="AG25" i="19" s="1"/>
  <c r="Z25" i="19"/>
  <c r="AF25" i="19" s="1"/>
  <c r="AA24" i="19"/>
  <c r="AG24" i="19" s="1"/>
  <c r="Z24" i="19"/>
  <c r="AF24" i="19" s="1"/>
  <c r="AF23" i="19"/>
  <c r="AA23" i="19"/>
  <c r="AG23" i="19" s="1"/>
  <c r="Z23" i="19"/>
  <c r="AF22" i="19"/>
  <c r="AA22" i="19"/>
  <c r="AG22" i="19" s="1"/>
  <c r="Z22" i="19"/>
  <c r="AA20" i="19"/>
  <c r="AG20" i="19" s="1"/>
  <c r="Z20" i="19"/>
  <c r="AF20" i="19" s="1"/>
  <c r="AA19" i="19"/>
  <c r="AG19" i="19" s="1"/>
  <c r="Z19" i="19"/>
  <c r="AF19" i="19" s="1"/>
  <c r="AF18" i="19"/>
  <c r="AA18" i="19"/>
  <c r="AG18" i="19" s="1"/>
  <c r="Z18" i="19"/>
  <c r="AF17" i="19"/>
  <c r="AA17" i="19"/>
  <c r="AG17" i="19" s="1"/>
  <c r="Z17" i="19"/>
  <c r="AA16" i="19"/>
  <c r="AG16" i="19" s="1"/>
  <c r="Z16" i="19"/>
  <c r="AF16" i="19" s="1"/>
  <c r="AA14" i="19"/>
  <c r="AG14" i="19" s="1"/>
  <c r="Z14" i="19"/>
  <c r="AF14" i="19" s="1"/>
  <c r="AF13" i="19"/>
  <c r="AA13" i="19"/>
  <c r="AG13" i="19" s="1"/>
  <c r="Z13" i="19"/>
  <c r="AF12" i="19"/>
  <c r="AA12" i="19"/>
  <c r="AG12" i="19" s="1"/>
  <c r="Z12" i="19"/>
  <c r="AA11" i="19"/>
  <c r="AG11" i="19" s="1"/>
  <c r="Z11" i="19"/>
  <c r="AF11" i="19" s="1"/>
  <c r="AA10" i="19"/>
  <c r="AG10" i="19" s="1"/>
  <c r="Z10" i="19"/>
  <c r="AF10" i="19" s="1"/>
  <c r="AF8" i="19"/>
  <c r="AA8" i="19"/>
  <c r="AG8" i="19" s="1"/>
  <c r="Z8" i="19"/>
  <c r="AF7" i="19"/>
  <c r="AA7" i="19"/>
  <c r="AG7" i="19" s="1"/>
  <c r="Z7" i="19"/>
  <c r="AA6" i="19"/>
  <c r="AG6" i="19" s="1"/>
  <c r="Z6" i="19"/>
  <c r="AF6" i="19" s="1"/>
  <c r="AA5" i="19"/>
  <c r="AG5" i="19" s="1"/>
  <c r="AG47" i="19" s="1"/>
  <c r="Z5" i="19"/>
  <c r="AF5" i="19" s="1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 s="1"/>
  <c r="K34" i="10"/>
  <c r="J34" i="10"/>
  <c r="I34" i="10"/>
  <c r="S12" i="20" s="1"/>
  <c r="H34" i="10"/>
  <c r="R12" i="20" s="1"/>
  <c r="G34" i="10"/>
  <c r="Q12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 s="1"/>
  <c r="K3" i="10"/>
  <c r="J3" i="10"/>
  <c r="I3" i="10"/>
  <c r="S8" i="20" s="1"/>
  <c r="H3" i="10"/>
  <c r="R8" i="20" s="1"/>
  <c r="G3" i="10"/>
  <c r="Q8" i="20" s="1"/>
  <c r="F3" i="10"/>
  <c r="P8" i="20" s="1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J150" i="9"/>
  <c r="I150" i="9"/>
  <c r="H150" i="9"/>
  <c r="G150" i="9"/>
  <c r="F150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 s="1"/>
  <c r="J129" i="9"/>
  <c r="I129" i="9"/>
  <c r="H129" i="9"/>
  <c r="G129" i="9"/>
  <c r="F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 s="1"/>
  <c r="E56" i="9" s="1"/>
  <c r="J78" i="9"/>
  <c r="T10" i="20" s="1"/>
  <c r="I78" i="9"/>
  <c r="S10" i="20" s="1"/>
  <c r="H78" i="9"/>
  <c r="R10" i="20" s="1"/>
  <c r="G78" i="9"/>
  <c r="Q10" i="20" s="1"/>
  <c r="F78" i="9"/>
  <c r="P10" i="20" s="1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J57" i="9"/>
  <c r="I57" i="9"/>
  <c r="S11" i="20" s="1"/>
  <c r="H57" i="9"/>
  <c r="R11" i="20" s="1"/>
  <c r="G57" i="9"/>
  <c r="Q11" i="20" s="1"/>
  <c r="F57" i="9"/>
  <c r="E57" i="9"/>
  <c r="G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J25" i="9"/>
  <c r="T6" i="20" s="1"/>
  <c r="I25" i="9"/>
  <c r="S6" i="20" s="1"/>
  <c r="H25" i="9"/>
  <c r="R6" i="20" s="1"/>
  <c r="G25" i="9"/>
  <c r="Q6" i="20" s="1"/>
  <c r="F25" i="9"/>
  <c r="P6" i="20" s="1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 s="1"/>
  <c r="E3" i="9" s="1"/>
  <c r="J4" i="9"/>
  <c r="I4" i="9"/>
  <c r="S7" i="20" s="1"/>
  <c r="H4" i="9"/>
  <c r="R7" i="20" s="1"/>
  <c r="G4" i="9"/>
  <c r="Q7" i="20" s="1"/>
  <c r="F4" i="9"/>
  <c r="H3" i="9"/>
  <c r="E3" i="18"/>
  <c r="E25" i="17"/>
  <c r="E3" i="17" s="1"/>
  <c r="E4" i="17"/>
  <c r="K28" i="11"/>
  <c r="G28" i="11"/>
  <c r="M27" i="11"/>
  <c r="L27" i="11"/>
  <c r="K27" i="11"/>
  <c r="J27" i="11"/>
  <c r="I27" i="11"/>
  <c r="H27" i="11"/>
  <c r="G27" i="11"/>
  <c r="F27" i="11"/>
  <c r="C27" i="11" s="1"/>
  <c r="E27" i="11"/>
  <c r="D27" i="11"/>
  <c r="M25" i="11"/>
  <c r="L25" i="11"/>
  <c r="K25" i="11"/>
  <c r="J25" i="11"/>
  <c r="I25" i="11"/>
  <c r="H25" i="11"/>
  <c r="G25" i="11"/>
  <c r="F25" i="11"/>
  <c r="E25" i="11"/>
  <c r="C25" i="11" s="1"/>
  <c r="D25" i="11"/>
  <c r="M23" i="11"/>
  <c r="M28" i="11" s="1"/>
  <c r="L23" i="11"/>
  <c r="L28" i="11" s="1"/>
  <c r="K23" i="11"/>
  <c r="J23" i="11"/>
  <c r="J28" i="11" s="1"/>
  <c r="I23" i="11"/>
  <c r="I28" i="11" s="1"/>
  <c r="H23" i="11"/>
  <c r="H28" i="11" s="1"/>
  <c r="G23" i="11"/>
  <c r="F23" i="11"/>
  <c r="F28" i="11" s="1"/>
  <c r="E23" i="11"/>
  <c r="E28" i="11" s="1"/>
  <c r="D23" i="11"/>
  <c r="D28" i="11" s="1"/>
  <c r="M14" i="11"/>
  <c r="M43" i="11" s="1"/>
  <c r="L14" i="11"/>
  <c r="L43" i="11" s="1"/>
  <c r="K14" i="11"/>
  <c r="K43" i="11" s="1"/>
  <c r="J14" i="11"/>
  <c r="J43" i="11" s="1"/>
  <c r="I14" i="11"/>
  <c r="I43" i="11" s="1"/>
  <c r="H14" i="11"/>
  <c r="H43" i="11" s="1"/>
  <c r="G14" i="11"/>
  <c r="G43" i="11" s="1"/>
  <c r="F14" i="11"/>
  <c r="F43" i="11" s="1"/>
  <c r="E14" i="11"/>
  <c r="E43" i="11" s="1"/>
  <c r="D14" i="11"/>
  <c r="D43" i="11" s="1"/>
  <c r="C43" i="11" s="1"/>
  <c r="M13" i="11"/>
  <c r="M42" i="11" s="1"/>
  <c r="L13" i="11"/>
  <c r="L42" i="11" s="1"/>
  <c r="K13" i="11"/>
  <c r="K42" i="11" s="1"/>
  <c r="J13" i="11"/>
  <c r="J42" i="11" s="1"/>
  <c r="I13" i="11"/>
  <c r="I42" i="11" s="1"/>
  <c r="H13" i="11"/>
  <c r="H42" i="11" s="1"/>
  <c r="G13" i="11"/>
  <c r="G42" i="11" s="1"/>
  <c r="F13" i="11"/>
  <c r="F42" i="11" s="1"/>
  <c r="E13" i="11"/>
  <c r="E42" i="11" s="1"/>
  <c r="D13" i="11"/>
  <c r="D42" i="11" s="1"/>
  <c r="C42" i="11" s="1"/>
  <c r="M12" i="11"/>
  <c r="M41" i="11" s="1"/>
  <c r="L12" i="11"/>
  <c r="L41" i="11" s="1"/>
  <c r="K12" i="11"/>
  <c r="K41" i="11" s="1"/>
  <c r="J12" i="11"/>
  <c r="J41" i="11" s="1"/>
  <c r="I12" i="11"/>
  <c r="I41" i="11" s="1"/>
  <c r="H12" i="11"/>
  <c r="H41" i="11" s="1"/>
  <c r="G12" i="11"/>
  <c r="G41" i="11" s="1"/>
  <c r="F12" i="11"/>
  <c r="F41" i="11" s="1"/>
  <c r="E12" i="11"/>
  <c r="E41" i="11" s="1"/>
  <c r="D12" i="11"/>
  <c r="D41" i="11" s="1"/>
  <c r="M11" i="11"/>
  <c r="M40" i="11" s="1"/>
  <c r="L11" i="11"/>
  <c r="L40" i="11" s="1"/>
  <c r="K11" i="11"/>
  <c r="K40" i="11" s="1"/>
  <c r="J11" i="11"/>
  <c r="J40" i="11" s="1"/>
  <c r="I11" i="11"/>
  <c r="I40" i="11" s="1"/>
  <c r="H11" i="11"/>
  <c r="H40" i="11" s="1"/>
  <c r="G11" i="11"/>
  <c r="G40" i="11" s="1"/>
  <c r="F11" i="11"/>
  <c r="F40" i="11" s="1"/>
  <c r="E11" i="11"/>
  <c r="E40" i="11" s="1"/>
  <c r="D11" i="11"/>
  <c r="D40" i="11" s="1"/>
  <c r="C40" i="11" s="1"/>
  <c r="C11" i="11"/>
  <c r="M10" i="11"/>
  <c r="M39" i="11" s="1"/>
  <c r="L10" i="11"/>
  <c r="L39" i="11" s="1"/>
  <c r="K10" i="11"/>
  <c r="K39" i="11" s="1"/>
  <c r="J10" i="11"/>
  <c r="J39" i="11" s="1"/>
  <c r="I10" i="11"/>
  <c r="I39" i="11" s="1"/>
  <c r="H10" i="11"/>
  <c r="H39" i="11" s="1"/>
  <c r="G10" i="11"/>
  <c r="G39" i="11" s="1"/>
  <c r="F10" i="11"/>
  <c r="F39" i="11" s="1"/>
  <c r="E10" i="11"/>
  <c r="E39" i="11" s="1"/>
  <c r="D10" i="11"/>
  <c r="D39" i="11" s="1"/>
  <c r="M9" i="11"/>
  <c r="M38" i="11" s="1"/>
  <c r="L9" i="11"/>
  <c r="L38" i="11" s="1"/>
  <c r="K9" i="11"/>
  <c r="K38" i="11" s="1"/>
  <c r="J9" i="11"/>
  <c r="J38" i="11" s="1"/>
  <c r="I9" i="11"/>
  <c r="I38" i="11" s="1"/>
  <c r="H9" i="11"/>
  <c r="H38" i="11" s="1"/>
  <c r="G9" i="11"/>
  <c r="G38" i="11" s="1"/>
  <c r="F9" i="11"/>
  <c r="F38" i="11" s="1"/>
  <c r="E9" i="11"/>
  <c r="E38" i="11" s="1"/>
  <c r="D9" i="11"/>
  <c r="D38" i="11" s="1"/>
  <c r="M8" i="11"/>
  <c r="M37" i="11" s="1"/>
  <c r="L8" i="11"/>
  <c r="L37" i="11" s="1"/>
  <c r="K8" i="11"/>
  <c r="K37" i="11" s="1"/>
  <c r="J8" i="11"/>
  <c r="J37" i="11" s="1"/>
  <c r="I8" i="11"/>
  <c r="I37" i="11" s="1"/>
  <c r="H8" i="11"/>
  <c r="H37" i="11" s="1"/>
  <c r="G8" i="11"/>
  <c r="G37" i="11" s="1"/>
  <c r="F8" i="11"/>
  <c r="F37" i="11" s="1"/>
  <c r="E8" i="11"/>
  <c r="E37" i="11" s="1"/>
  <c r="D8" i="11"/>
  <c r="D37" i="11" s="1"/>
  <c r="M7" i="11"/>
  <c r="M36" i="11" s="1"/>
  <c r="M44" i="11" s="1"/>
  <c r="L7" i="11"/>
  <c r="L15" i="11" s="1"/>
  <c r="K7" i="11"/>
  <c r="K36" i="11" s="1"/>
  <c r="J7" i="11"/>
  <c r="J36" i="11" s="1"/>
  <c r="J44" i="11" s="1"/>
  <c r="I7" i="11"/>
  <c r="I36" i="11" s="1"/>
  <c r="I44" i="11" s="1"/>
  <c r="H7" i="11"/>
  <c r="H15" i="11" s="1"/>
  <c r="G7" i="11"/>
  <c r="G36" i="11" s="1"/>
  <c r="F7" i="11"/>
  <c r="F15" i="11" s="1"/>
  <c r="E7" i="11"/>
  <c r="E36" i="11" s="1"/>
  <c r="E44" i="11" s="1"/>
  <c r="D7" i="11"/>
  <c r="D15" i="11" s="1"/>
  <c r="C7" i="11"/>
  <c r="P136" i="3"/>
  <c r="M136" i="3"/>
  <c r="J136" i="3"/>
  <c r="G136" i="3"/>
  <c r="D136" i="3" s="1"/>
  <c r="P135" i="3"/>
  <c r="M135" i="3"/>
  <c r="J135" i="3"/>
  <c r="D135" i="3" s="1"/>
  <c r="G135" i="3"/>
  <c r="P134" i="3"/>
  <c r="M134" i="3"/>
  <c r="D134" i="3" s="1"/>
  <c r="J134" i="3"/>
  <c r="G134" i="3"/>
  <c r="P133" i="3"/>
  <c r="M133" i="3"/>
  <c r="J133" i="3"/>
  <c r="G133" i="3"/>
  <c r="D133" i="3"/>
  <c r="P132" i="3"/>
  <c r="M132" i="3"/>
  <c r="J132" i="3"/>
  <c r="G132" i="3"/>
  <c r="D132" i="3" s="1"/>
  <c r="P131" i="3"/>
  <c r="M131" i="3"/>
  <c r="J131" i="3"/>
  <c r="D131" i="3" s="1"/>
  <c r="G131" i="3"/>
  <c r="P130" i="3"/>
  <c r="M130" i="3"/>
  <c r="D130" i="3" s="1"/>
  <c r="J130" i="3"/>
  <c r="G130" i="3"/>
  <c r="P129" i="3"/>
  <c r="M129" i="3"/>
  <c r="J129" i="3"/>
  <c r="G129" i="3"/>
  <c r="D129" i="3"/>
  <c r="P128" i="3"/>
  <c r="M128" i="3"/>
  <c r="J128" i="3"/>
  <c r="G128" i="3"/>
  <c r="D128" i="3" s="1"/>
  <c r="S127" i="3"/>
  <c r="N136" i="3" s="1"/>
  <c r="P127" i="3"/>
  <c r="M127" i="3"/>
  <c r="D127" i="3" s="1"/>
  <c r="J127" i="3"/>
  <c r="G127" i="3"/>
  <c r="R126" i="3"/>
  <c r="Q126" i="3"/>
  <c r="P126" i="3"/>
  <c r="N126" i="3"/>
  <c r="O126" i="3" s="1"/>
  <c r="M126" i="3"/>
  <c r="K126" i="3"/>
  <c r="J126" i="3"/>
  <c r="H126" i="3"/>
  <c r="I126" i="3" s="1"/>
  <c r="G126" i="3"/>
  <c r="Q125" i="3"/>
  <c r="R125" i="3" s="1"/>
  <c r="P125" i="3"/>
  <c r="N125" i="3"/>
  <c r="M125" i="3"/>
  <c r="K125" i="3"/>
  <c r="L125" i="3" s="1"/>
  <c r="J125" i="3"/>
  <c r="I125" i="3"/>
  <c r="H125" i="3"/>
  <c r="G125" i="3"/>
  <c r="D125" i="3" s="1"/>
  <c r="Q124" i="3"/>
  <c r="R124" i="3" s="1"/>
  <c r="P124" i="3"/>
  <c r="N124" i="3"/>
  <c r="O124" i="3" s="1"/>
  <c r="M124" i="3"/>
  <c r="L124" i="3"/>
  <c r="K124" i="3"/>
  <c r="J124" i="3"/>
  <c r="H124" i="3"/>
  <c r="G124" i="3"/>
  <c r="D124" i="3"/>
  <c r="Q123" i="3"/>
  <c r="R123" i="3" s="1"/>
  <c r="P123" i="3"/>
  <c r="O123" i="3"/>
  <c r="N123" i="3"/>
  <c r="M123" i="3"/>
  <c r="K123" i="3"/>
  <c r="L123" i="3" s="1"/>
  <c r="J123" i="3"/>
  <c r="H123" i="3"/>
  <c r="G123" i="3"/>
  <c r="D123" i="3" s="1"/>
  <c r="R122" i="3"/>
  <c r="Q122" i="3"/>
  <c r="P122" i="3"/>
  <c r="N122" i="3"/>
  <c r="O122" i="3" s="1"/>
  <c r="M122" i="3"/>
  <c r="K122" i="3"/>
  <c r="J122" i="3"/>
  <c r="H122" i="3"/>
  <c r="I122" i="3" s="1"/>
  <c r="G122" i="3"/>
  <c r="D122" i="3" s="1"/>
  <c r="Q121" i="3"/>
  <c r="R121" i="3" s="1"/>
  <c r="P121" i="3"/>
  <c r="N121" i="3"/>
  <c r="O121" i="3" s="1"/>
  <c r="M121" i="3"/>
  <c r="K121" i="3"/>
  <c r="L121" i="3" s="1"/>
  <c r="J121" i="3"/>
  <c r="D121" i="3" s="1"/>
  <c r="I121" i="3"/>
  <c r="F121" i="3" s="1"/>
  <c r="H121" i="3"/>
  <c r="G121" i="3"/>
  <c r="E121" i="3"/>
  <c r="Q120" i="3"/>
  <c r="R120" i="3" s="1"/>
  <c r="P120" i="3"/>
  <c r="N120" i="3"/>
  <c r="O120" i="3" s="1"/>
  <c r="M120" i="3"/>
  <c r="L120" i="3"/>
  <c r="K120" i="3"/>
  <c r="J120" i="3"/>
  <c r="H120" i="3"/>
  <c r="G120" i="3"/>
  <c r="D120" i="3"/>
  <c r="Q119" i="3"/>
  <c r="R119" i="3" s="1"/>
  <c r="P119" i="3"/>
  <c r="O119" i="3"/>
  <c r="N119" i="3"/>
  <c r="M119" i="3"/>
  <c r="K119" i="3"/>
  <c r="L119" i="3" s="1"/>
  <c r="J119" i="3"/>
  <c r="H119" i="3"/>
  <c r="G119" i="3"/>
  <c r="D119" i="3" s="1"/>
  <c r="R118" i="3"/>
  <c r="Q118" i="3"/>
  <c r="P118" i="3"/>
  <c r="N118" i="3"/>
  <c r="O118" i="3" s="1"/>
  <c r="M118" i="3"/>
  <c r="K118" i="3"/>
  <c r="E118" i="3" s="1"/>
  <c r="J118" i="3"/>
  <c r="H118" i="3"/>
  <c r="I118" i="3" s="1"/>
  <c r="G118" i="3"/>
  <c r="D118" i="3" s="1"/>
  <c r="Q117" i="3"/>
  <c r="R117" i="3" s="1"/>
  <c r="P117" i="3"/>
  <c r="N117" i="3"/>
  <c r="O117" i="3" s="1"/>
  <c r="M117" i="3"/>
  <c r="K117" i="3"/>
  <c r="J117" i="3"/>
  <c r="L117" i="3" s="1"/>
  <c r="I117" i="3"/>
  <c r="F117" i="3" s="1"/>
  <c r="H117" i="3"/>
  <c r="G117" i="3"/>
  <c r="E117" i="3"/>
  <c r="Q116" i="3"/>
  <c r="N116" i="3"/>
  <c r="K116" i="3"/>
  <c r="H116" i="3"/>
  <c r="I116" i="3" s="1"/>
  <c r="Q115" i="3"/>
  <c r="N115" i="3"/>
  <c r="K115" i="3"/>
  <c r="L115" i="3" s="1"/>
  <c r="H115" i="3"/>
  <c r="Q114" i="3"/>
  <c r="N114" i="3"/>
  <c r="K114" i="3"/>
  <c r="H114" i="3"/>
  <c r="Q113" i="3"/>
  <c r="N113" i="3"/>
  <c r="K113" i="3"/>
  <c r="H113" i="3"/>
  <c r="E113" i="3"/>
  <c r="Q112" i="3"/>
  <c r="N112" i="3"/>
  <c r="K112" i="3"/>
  <c r="H112" i="3"/>
  <c r="Q111" i="3"/>
  <c r="N111" i="3"/>
  <c r="K111" i="3"/>
  <c r="H111" i="3"/>
  <c r="Q110" i="3"/>
  <c r="N110" i="3"/>
  <c r="K110" i="3"/>
  <c r="H110" i="3"/>
  <c r="Q109" i="3"/>
  <c r="N109" i="3"/>
  <c r="K109" i="3"/>
  <c r="H109" i="3"/>
  <c r="E109" i="3"/>
  <c r="D106" i="3"/>
  <c r="D105" i="3"/>
  <c r="D104" i="3"/>
  <c r="D103" i="3"/>
  <c r="D102" i="3"/>
  <c r="D101" i="3"/>
  <c r="D100" i="3"/>
  <c r="D99" i="3"/>
  <c r="D98" i="3"/>
  <c r="D97" i="3"/>
  <c r="Q96" i="3"/>
  <c r="D118" i="14" s="1"/>
  <c r="P96" i="3"/>
  <c r="N96" i="3"/>
  <c r="D83" i="14" s="1"/>
  <c r="M96" i="3"/>
  <c r="O96" i="3" s="1"/>
  <c r="L96" i="3"/>
  <c r="K96" i="3"/>
  <c r="D48" i="14" s="1"/>
  <c r="J96" i="3"/>
  <c r="H96" i="3"/>
  <c r="I96" i="3" s="1"/>
  <c r="G96" i="3"/>
  <c r="D96" i="3"/>
  <c r="R95" i="3"/>
  <c r="Q95" i="3"/>
  <c r="P95" i="3"/>
  <c r="N95" i="3"/>
  <c r="O95" i="3" s="1"/>
  <c r="M95" i="3"/>
  <c r="K95" i="3"/>
  <c r="L95" i="3" s="1"/>
  <c r="J95" i="3"/>
  <c r="H95" i="3"/>
  <c r="I95" i="3" s="1"/>
  <c r="G95" i="3"/>
  <c r="D95" i="3" s="1"/>
  <c r="Q94" i="3"/>
  <c r="D116" i="14" s="1"/>
  <c r="P94" i="3"/>
  <c r="N94" i="3"/>
  <c r="D81" i="14" s="1"/>
  <c r="M94" i="3"/>
  <c r="K94" i="3"/>
  <c r="D46" i="14" s="1"/>
  <c r="J94" i="3"/>
  <c r="I94" i="3"/>
  <c r="H94" i="3"/>
  <c r="G94" i="3"/>
  <c r="D94" i="3" s="1"/>
  <c r="E94" i="3"/>
  <c r="Q93" i="3"/>
  <c r="R93" i="3" s="1"/>
  <c r="P93" i="3"/>
  <c r="N93" i="3"/>
  <c r="O93" i="3" s="1"/>
  <c r="M93" i="3"/>
  <c r="L93" i="3"/>
  <c r="K93" i="3"/>
  <c r="J93" i="3"/>
  <c r="H93" i="3"/>
  <c r="I93" i="3" s="1"/>
  <c r="G93" i="3"/>
  <c r="D93" i="3"/>
  <c r="Q92" i="3"/>
  <c r="D114" i="14" s="1"/>
  <c r="P92" i="3"/>
  <c r="O92" i="3"/>
  <c r="N92" i="3"/>
  <c r="D79" i="14" s="1"/>
  <c r="M92" i="3"/>
  <c r="K92" i="3"/>
  <c r="D44" i="14" s="1"/>
  <c r="J92" i="3"/>
  <c r="H92" i="3"/>
  <c r="I92" i="3" s="1"/>
  <c r="G92" i="3"/>
  <c r="D92" i="3" s="1"/>
  <c r="R91" i="3"/>
  <c r="Q91" i="3"/>
  <c r="P91" i="3"/>
  <c r="N91" i="3"/>
  <c r="O91" i="3" s="1"/>
  <c r="M91" i="3"/>
  <c r="K91" i="3"/>
  <c r="L91" i="3" s="1"/>
  <c r="J91" i="3"/>
  <c r="H91" i="3"/>
  <c r="I91" i="3" s="1"/>
  <c r="F91" i="3" s="1"/>
  <c r="G91" i="3"/>
  <c r="D91" i="3" s="1"/>
  <c r="Q90" i="3"/>
  <c r="D112" i="14" s="1"/>
  <c r="P90" i="3"/>
  <c r="N90" i="3"/>
  <c r="D77" i="14" s="1"/>
  <c r="M90" i="3"/>
  <c r="K90" i="3"/>
  <c r="D42" i="14" s="1"/>
  <c r="J90" i="3"/>
  <c r="I90" i="3"/>
  <c r="H90" i="3"/>
  <c r="G90" i="3"/>
  <c r="D90" i="3" s="1"/>
  <c r="E90" i="3"/>
  <c r="Q89" i="3"/>
  <c r="R89" i="3" s="1"/>
  <c r="P89" i="3"/>
  <c r="N89" i="3"/>
  <c r="O89" i="3" s="1"/>
  <c r="M89" i="3"/>
  <c r="L89" i="3"/>
  <c r="K89" i="3"/>
  <c r="J89" i="3"/>
  <c r="H89" i="3"/>
  <c r="D6" i="14" s="1"/>
  <c r="G89" i="3"/>
  <c r="D89" i="3"/>
  <c r="Q88" i="3"/>
  <c r="D110" i="14" s="1"/>
  <c r="P88" i="3"/>
  <c r="O88" i="3"/>
  <c r="N88" i="3"/>
  <c r="D75" i="14" s="1"/>
  <c r="M88" i="3"/>
  <c r="K88" i="3"/>
  <c r="D40" i="14" s="1"/>
  <c r="J88" i="3"/>
  <c r="H88" i="3"/>
  <c r="I88" i="3" s="1"/>
  <c r="G88" i="3"/>
  <c r="D88" i="3" s="1"/>
  <c r="R87" i="3"/>
  <c r="Q87" i="3"/>
  <c r="P87" i="3"/>
  <c r="N87" i="3"/>
  <c r="O87" i="3" s="1"/>
  <c r="M87" i="3"/>
  <c r="K87" i="3"/>
  <c r="L87" i="3" s="1"/>
  <c r="J87" i="3"/>
  <c r="H87" i="3"/>
  <c r="I87" i="3" s="1"/>
  <c r="G87" i="3"/>
  <c r="D87" i="3" s="1"/>
  <c r="P86" i="3"/>
  <c r="M86" i="3"/>
  <c r="D86" i="3" s="1"/>
  <c r="J86" i="3"/>
  <c r="G86" i="3"/>
  <c r="P85" i="3"/>
  <c r="M85" i="3"/>
  <c r="J85" i="3"/>
  <c r="G85" i="3"/>
  <c r="D85" i="3"/>
  <c r="P84" i="3"/>
  <c r="M84" i="3"/>
  <c r="J84" i="3"/>
  <c r="G84" i="3"/>
  <c r="D84" i="3" s="1"/>
  <c r="P83" i="3"/>
  <c r="M83" i="3"/>
  <c r="J83" i="3"/>
  <c r="D83" i="3" s="1"/>
  <c r="G83" i="3"/>
  <c r="P82" i="3"/>
  <c r="M82" i="3"/>
  <c r="D82" i="3" s="1"/>
  <c r="J82" i="3"/>
  <c r="G82" i="3"/>
  <c r="P81" i="3"/>
  <c r="M81" i="3"/>
  <c r="J81" i="3"/>
  <c r="G81" i="3"/>
  <c r="D81" i="3"/>
  <c r="P80" i="3"/>
  <c r="M80" i="3"/>
  <c r="J80" i="3"/>
  <c r="G80" i="3"/>
  <c r="D80" i="3" s="1"/>
  <c r="P79" i="3"/>
  <c r="M79" i="3"/>
  <c r="J79" i="3"/>
  <c r="D79" i="3" s="1"/>
  <c r="G79" i="3"/>
  <c r="P78" i="3"/>
  <c r="M78" i="3"/>
  <c r="D78" i="3" s="1"/>
  <c r="J78" i="3"/>
  <c r="G78" i="3"/>
  <c r="P77" i="3"/>
  <c r="M77" i="3"/>
  <c r="J77" i="3"/>
  <c r="G77" i="3"/>
  <c r="D77" i="3"/>
  <c r="P76" i="3"/>
  <c r="M76" i="3"/>
  <c r="J76" i="3"/>
  <c r="G76" i="3"/>
  <c r="D76" i="3" s="1"/>
  <c r="P75" i="3"/>
  <c r="M75" i="3"/>
  <c r="J75" i="3"/>
  <c r="G75" i="3"/>
  <c r="D75" i="3" s="1"/>
  <c r="P74" i="3"/>
  <c r="M74" i="3"/>
  <c r="D74" i="3" s="1"/>
  <c r="J74" i="3"/>
  <c r="G74" i="3"/>
  <c r="P73" i="3"/>
  <c r="M73" i="3"/>
  <c r="J73" i="3"/>
  <c r="G73" i="3"/>
  <c r="D73" i="3"/>
  <c r="P72" i="3"/>
  <c r="M72" i="3"/>
  <c r="J72" i="3"/>
  <c r="G72" i="3"/>
  <c r="D72" i="3" s="1"/>
  <c r="P71" i="3"/>
  <c r="M71" i="3"/>
  <c r="J71" i="3"/>
  <c r="D71" i="3" s="1"/>
  <c r="G71" i="3"/>
  <c r="P70" i="3"/>
  <c r="M70" i="3"/>
  <c r="D70" i="3" s="1"/>
  <c r="J70" i="3"/>
  <c r="G70" i="3"/>
  <c r="P69" i="3"/>
  <c r="M69" i="3"/>
  <c r="J69" i="3"/>
  <c r="G69" i="3"/>
  <c r="D69" i="3"/>
  <c r="P68" i="3"/>
  <c r="M68" i="3"/>
  <c r="J68" i="3"/>
  <c r="G68" i="3"/>
  <c r="D68" i="3" s="1"/>
  <c r="S67" i="3"/>
  <c r="K76" i="3" s="1"/>
  <c r="P67" i="3"/>
  <c r="M67" i="3"/>
  <c r="D67" i="3" s="1"/>
  <c r="J67" i="3"/>
  <c r="G67" i="3"/>
  <c r="R65" i="3"/>
  <c r="O65" i="3"/>
  <c r="L65" i="3"/>
  <c r="I65" i="3"/>
  <c r="F65" i="3"/>
  <c r="E65" i="3"/>
  <c r="D65" i="3"/>
  <c r="R64" i="3"/>
  <c r="O64" i="3"/>
  <c r="F64" i="3" s="1"/>
  <c r="L64" i="3"/>
  <c r="I64" i="3"/>
  <c r="E64" i="3"/>
  <c r="D64" i="3"/>
  <c r="R63" i="3"/>
  <c r="O63" i="3"/>
  <c r="L63" i="3"/>
  <c r="F63" i="3" s="1"/>
  <c r="I63" i="3"/>
  <c r="E63" i="3"/>
  <c r="D63" i="3"/>
  <c r="R62" i="3"/>
  <c r="O62" i="3"/>
  <c r="L62" i="3"/>
  <c r="I62" i="3"/>
  <c r="F62" i="3" s="1"/>
  <c r="E62" i="3"/>
  <c r="D62" i="3"/>
  <c r="R61" i="3"/>
  <c r="O61" i="3"/>
  <c r="L61" i="3"/>
  <c r="I61" i="3"/>
  <c r="F61" i="3"/>
  <c r="E61" i="3"/>
  <c r="D61" i="3"/>
  <c r="R60" i="3"/>
  <c r="O60" i="3"/>
  <c r="F60" i="3" s="1"/>
  <c r="L60" i="3"/>
  <c r="I60" i="3"/>
  <c r="E60" i="3"/>
  <c r="D60" i="3"/>
  <c r="R59" i="3"/>
  <c r="O59" i="3"/>
  <c r="L59" i="3"/>
  <c r="F59" i="3" s="1"/>
  <c r="I59" i="3"/>
  <c r="E59" i="3"/>
  <c r="D59" i="3"/>
  <c r="R58" i="3"/>
  <c r="O58" i="3"/>
  <c r="L58" i="3"/>
  <c r="I58" i="3"/>
  <c r="F58" i="3" s="1"/>
  <c r="E58" i="3"/>
  <c r="D58" i="3"/>
  <c r="R57" i="3"/>
  <c r="O57" i="3"/>
  <c r="L57" i="3"/>
  <c r="I57" i="3"/>
  <c r="F57" i="3"/>
  <c r="E57" i="3"/>
  <c r="D57" i="3"/>
  <c r="R56" i="3"/>
  <c r="O56" i="3"/>
  <c r="F56" i="3" s="1"/>
  <c r="L56" i="3"/>
  <c r="I56" i="3"/>
  <c r="E56" i="3"/>
  <c r="D56" i="3"/>
  <c r="R55" i="3"/>
  <c r="O55" i="3"/>
  <c r="L55" i="3"/>
  <c r="I55" i="3"/>
  <c r="E55" i="3"/>
  <c r="D55" i="3"/>
  <c r="F55" i="3" s="1"/>
  <c r="R54" i="3"/>
  <c r="O54" i="3"/>
  <c r="L54" i="3"/>
  <c r="I54" i="3"/>
  <c r="E54" i="3"/>
  <c r="D54" i="3"/>
  <c r="F54" i="3" s="1"/>
  <c r="R53" i="3"/>
  <c r="O53" i="3"/>
  <c r="L53" i="3"/>
  <c r="I53" i="3"/>
  <c r="F53" i="3"/>
  <c r="E53" i="3"/>
  <c r="D53" i="3"/>
  <c r="R52" i="3"/>
  <c r="O52" i="3"/>
  <c r="L52" i="3"/>
  <c r="I52" i="3"/>
  <c r="E52" i="3"/>
  <c r="F52" i="3" s="1"/>
  <c r="D52" i="3"/>
  <c r="R51" i="3"/>
  <c r="O51" i="3"/>
  <c r="L51" i="3"/>
  <c r="I51" i="3"/>
  <c r="E51" i="3"/>
  <c r="D51" i="3"/>
  <c r="F51" i="3" s="1"/>
  <c r="R50" i="3"/>
  <c r="O50" i="3"/>
  <c r="L50" i="3"/>
  <c r="I50" i="3"/>
  <c r="E50" i="3"/>
  <c r="D50" i="3"/>
  <c r="F50" i="3" s="1"/>
  <c r="R49" i="3"/>
  <c r="O49" i="3"/>
  <c r="L49" i="3"/>
  <c r="I49" i="3"/>
  <c r="F49" i="3"/>
  <c r="E49" i="3"/>
  <c r="D49" i="3"/>
  <c r="R48" i="3"/>
  <c r="O48" i="3"/>
  <c r="L48" i="3"/>
  <c r="I48" i="3"/>
  <c r="E48" i="3"/>
  <c r="F48" i="3" s="1"/>
  <c r="D48" i="3"/>
  <c r="R47" i="3"/>
  <c r="O47" i="3"/>
  <c r="L47" i="3"/>
  <c r="I47" i="3"/>
  <c r="E47" i="3"/>
  <c r="D47" i="3"/>
  <c r="F47" i="3" s="1"/>
  <c r="S46" i="3"/>
  <c r="R46" i="3"/>
  <c r="O46" i="3"/>
  <c r="L46" i="3"/>
  <c r="I46" i="3"/>
  <c r="E46" i="3"/>
  <c r="D46" i="3"/>
  <c r="F46" i="3" s="1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S36" i="3"/>
  <c r="R36" i="3"/>
  <c r="O36" i="3"/>
  <c r="L36" i="3"/>
  <c r="I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25" i="3"/>
  <c r="P116" i="3" s="1"/>
  <c r="O25" i="3"/>
  <c r="M25" i="3"/>
  <c r="M116" i="3" s="1"/>
  <c r="J25" i="3"/>
  <c r="J116" i="3" s="1"/>
  <c r="L116" i="3" s="1"/>
  <c r="I25" i="3"/>
  <c r="G25" i="3"/>
  <c r="G116" i="3" s="1"/>
  <c r="D116" i="3" s="1"/>
  <c r="P24" i="3"/>
  <c r="R24" i="3" s="1"/>
  <c r="O24" i="3"/>
  <c r="M24" i="3"/>
  <c r="M115" i="3" s="1"/>
  <c r="O115" i="3" s="1"/>
  <c r="J24" i="3"/>
  <c r="J115" i="3" s="1"/>
  <c r="I24" i="3"/>
  <c r="G24" i="3"/>
  <c r="G115" i="3" s="1"/>
  <c r="P23" i="3"/>
  <c r="P114" i="3" s="1"/>
  <c r="R114" i="3" s="1"/>
  <c r="O23" i="3"/>
  <c r="M23" i="3"/>
  <c r="M114" i="3" s="1"/>
  <c r="J23" i="3"/>
  <c r="L23" i="3" s="1"/>
  <c r="I23" i="3"/>
  <c r="G23" i="3"/>
  <c r="G114" i="3" s="1"/>
  <c r="P22" i="3"/>
  <c r="R22" i="3" s="1"/>
  <c r="O22" i="3"/>
  <c r="M22" i="3"/>
  <c r="M113" i="3" s="1"/>
  <c r="J22" i="3"/>
  <c r="J113" i="3" s="1"/>
  <c r="L113" i="3" s="1"/>
  <c r="I22" i="3"/>
  <c r="G22" i="3"/>
  <c r="G113" i="3" s="1"/>
  <c r="P21" i="3"/>
  <c r="R21" i="3" s="1"/>
  <c r="O21" i="3"/>
  <c r="M21" i="3"/>
  <c r="M112" i="3" s="1"/>
  <c r="O112" i="3" s="1"/>
  <c r="J21" i="3"/>
  <c r="J112" i="3" s="1"/>
  <c r="L112" i="3" s="1"/>
  <c r="I21" i="3"/>
  <c r="G21" i="3"/>
  <c r="G112" i="3" s="1"/>
  <c r="P20" i="3"/>
  <c r="P111" i="3" s="1"/>
  <c r="R111" i="3" s="1"/>
  <c r="O20" i="3"/>
  <c r="M20" i="3"/>
  <c r="M111" i="3" s="1"/>
  <c r="O111" i="3" s="1"/>
  <c r="J20" i="3"/>
  <c r="L20" i="3" s="1"/>
  <c r="I20" i="3"/>
  <c r="G20" i="3"/>
  <c r="G111" i="3" s="1"/>
  <c r="P19" i="3"/>
  <c r="P110" i="3" s="1"/>
  <c r="R110" i="3" s="1"/>
  <c r="O19" i="3"/>
  <c r="M19" i="3"/>
  <c r="M110" i="3" s="1"/>
  <c r="J19" i="3"/>
  <c r="L19" i="3" s="1"/>
  <c r="I19" i="3"/>
  <c r="G19" i="3"/>
  <c r="G110" i="3" s="1"/>
  <c r="P18" i="3"/>
  <c r="O18" i="3"/>
  <c r="M18" i="3"/>
  <c r="M109" i="3" s="1"/>
  <c r="J18" i="3"/>
  <c r="I18" i="3"/>
  <c r="G18" i="3"/>
  <c r="G109" i="3" s="1"/>
  <c r="Q17" i="3"/>
  <c r="P17" i="3"/>
  <c r="P108" i="3" s="1"/>
  <c r="M17" i="3"/>
  <c r="L17" i="3"/>
  <c r="K17" i="3"/>
  <c r="K108" i="3" s="1"/>
  <c r="L108" i="3" s="1"/>
  <c r="J17" i="3"/>
  <c r="J108" i="3" s="1"/>
  <c r="H17" i="3"/>
  <c r="H108" i="3" s="1"/>
  <c r="G17" i="3"/>
  <c r="G108" i="3" s="1"/>
  <c r="Q16" i="3"/>
  <c r="P16" i="3"/>
  <c r="P107" i="3" s="1"/>
  <c r="M16" i="3"/>
  <c r="L16" i="3"/>
  <c r="K16" i="3"/>
  <c r="K107" i="3" s="1"/>
  <c r="J16" i="3"/>
  <c r="J107" i="3" s="1"/>
  <c r="I16" i="3"/>
  <c r="H16" i="3"/>
  <c r="H107" i="3" s="1"/>
  <c r="G16" i="3"/>
  <c r="G107" i="3" s="1"/>
  <c r="R15" i="3"/>
  <c r="O15" i="3"/>
  <c r="L15" i="3"/>
  <c r="I15" i="3"/>
  <c r="E15" i="3"/>
  <c r="D15" i="3"/>
  <c r="R14" i="3"/>
  <c r="O14" i="3"/>
  <c r="L14" i="3"/>
  <c r="I14" i="3"/>
  <c r="F14" i="3" s="1"/>
  <c r="E14" i="3"/>
  <c r="D14" i="3"/>
  <c r="R13" i="3"/>
  <c r="O13" i="3"/>
  <c r="L13" i="3"/>
  <c r="I13" i="3"/>
  <c r="F13" i="3" s="1"/>
  <c r="E13" i="3"/>
  <c r="D13" i="3"/>
  <c r="R12" i="3"/>
  <c r="O12" i="3"/>
  <c r="L12" i="3"/>
  <c r="I12" i="3"/>
  <c r="F12" i="3"/>
  <c r="E12" i="3"/>
  <c r="D12" i="3"/>
  <c r="R11" i="3"/>
  <c r="O11" i="3"/>
  <c r="L11" i="3"/>
  <c r="F11" i="3" s="1"/>
  <c r="I11" i="3"/>
  <c r="E11" i="3"/>
  <c r="D11" i="3"/>
  <c r="R10" i="3"/>
  <c r="O10" i="3"/>
  <c r="L10" i="3"/>
  <c r="I10" i="3"/>
  <c r="F10" i="3" s="1"/>
  <c r="E10" i="3"/>
  <c r="D10" i="3"/>
  <c r="R9" i="3"/>
  <c r="O9" i="3"/>
  <c r="L9" i="3"/>
  <c r="I9" i="3"/>
  <c r="F9" i="3" s="1"/>
  <c r="E9" i="3"/>
  <c r="D9" i="3"/>
  <c r="R8" i="3"/>
  <c r="O8" i="3"/>
  <c r="L8" i="3"/>
  <c r="I8" i="3"/>
  <c r="F8" i="3"/>
  <c r="E8" i="3"/>
  <c r="D8" i="3"/>
  <c r="R7" i="3"/>
  <c r="O7" i="3"/>
  <c r="L7" i="3"/>
  <c r="F7" i="3" s="1"/>
  <c r="I7" i="3"/>
  <c r="E7" i="3"/>
  <c r="D7" i="3"/>
  <c r="R6" i="3"/>
  <c r="O6" i="3"/>
  <c r="L6" i="3"/>
  <c r="I6" i="3"/>
  <c r="F6" i="3" s="1"/>
  <c r="E6" i="3"/>
  <c r="D6" i="3"/>
  <c r="P4" i="3"/>
  <c r="M4" i="3"/>
  <c r="J4" i="3"/>
  <c r="G4" i="3"/>
  <c r="P3" i="3"/>
  <c r="M3" i="3"/>
  <c r="J3" i="3"/>
  <c r="G3" i="3"/>
  <c r="N14" i="6"/>
  <c r="K14" i="6"/>
  <c r="Q13" i="6"/>
  <c r="P13" i="6"/>
  <c r="O13" i="6"/>
  <c r="L13" i="6"/>
  <c r="M13" i="6" s="1"/>
  <c r="H13" i="6"/>
  <c r="T13" i="6" s="1"/>
  <c r="E13" i="6"/>
  <c r="B13" i="6"/>
  <c r="O12" i="6"/>
  <c r="P12" i="6" s="1"/>
  <c r="L12" i="6"/>
  <c r="M12" i="6" s="1"/>
  <c r="H12" i="6"/>
  <c r="E12" i="6"/>
  <c r="B12" i="6"/>
  <c r="O11" i="6"/>
  <c r="P11" i="6" s="1"/>
  <c r="M11" i="6"/>
  <c r="L11" i="6"/>
  <c r="H11" i="6"/>
  <c r="E11" i="6"/>
  <c r="B11" i="6"/>
  <c r="R10" i="6"/>
  <c r="O10" i="6"/>
  <c r="P10" i="6" s="1"/>
  <c r="L10" i="6"/>
  <c r="M10" i="6" s="1"/>
  <c r="H10" i="6"/>
  <c r="E10" i="6"/>
  <c r="B10" i="6"/>
  <c r="P9" i="6"/>
  <c r="O9" i="6"/>
  <c r="L9" i="6"/>
  <c r="M9" i="6" s="1"/>
  <c r="H9" i="6"/>
  <c r="E9" i="6"/>
  <c r="B9" i="6"/>
  <c r="O8" i="6"/>
  <c r="P8" i="6" s="1"/>
  <c r="L8" i="6"/>
  <c r="M8" i="6" s="1"/>
  <c r="H8" i="6"/>
  <c r="E8" i="6"/>
  <c r="B8" i="6"/>
  <c r="O7" i="6"/>
  <c r="P7" i="6" s="1"/>
  <c r="M7" i="6"/>
  <c r="L7" i="6"/>
  <c r="H7" i="6"/>
  <c r="E7" i="6"/>
  <c r="B7" i="6"/>
  <c r="R6" i="6"/>
  <c r="O6" i="6"/>
  <c r="P6" i="6" s="1"/>
  <c r="L6" i="6"/>
  <c r="M6" i="6" s="1"/>
  <c r="H6" i="6"/>
  <c r="E6" i="6"/>
  <c r="B6" i="6"/>
  <c r="W5" i="6"/>
  <c r="C11" i="6" s="1"/>
  <c r="P5" i="6"/>
  <c r="O5" i="6"/>
  <c r="L5" i="6"/>
  <c r="M5" i="6" s="1"/>
  <c r="H5" i="6"/>
  <c r="E5" i="6"/>
  <c r="B5" i="6"/>
  <c r="W4" i="6"/>
  <c r="P4" i="6"/>
  <c r="O4" i="6"/>
  <c r="O14" i="6" s="1"/>
  <c r="L4" i="6"/>
  <c r="L14" i="6" s="1"/>
  <c r="H4" i="6"/>
  <c r="H14" i="6" s="1"/>
  <c r="E4" i="6"/>
  <c r="E14" i="6" s="1"/>
  <c r="B4" i="6"/>
  <c r="B14" i="6" s="1"/>
  <c r="H14" i="4"/>
  <c r="F14" i="4"/>
  <c r="E14" i="4"/>
  <c r="N13" i="4"/>
  <c r="T13" i="4" s="1"/>
  <c r="E13" i="2" s="1"/>
  <c r="K13" i="4"/>
  <c r="G13" i="4"/>
  <c r="N12" i="4"/>
  <c r="T12" i="4" s="1"/>
  <c r="K12" i="4"/>
  <c r="G12" i="4"/>
  <c r="B12" i="4"/>
  <c r="Q12" i="4" s="1"/>
  <c r="Q11" i="4"/>
  <c r="N11" i="4"/>
  <c r="T11" i="4" s="1"/>
  <c r="K11" i="4"/>
  <c r="G11" i="4"/>
  <c r="B11" i="4"/>
  <c r="N10" i="4"/>
  <c r="T10" i="4" s="1"/>
  <c r="K10" i="4"/>
  <c r="G10" i="4"/>
  <c r="B10" i="4"/>
  <c r="Q10" i="4" s="1"/>
  <c r="Q9" i="4"/>
  <c r="N9" i="4"/>
  <c r="T9" i="4" s="1"/>
  <c r="K9" i="4"/>
  <c r="G9" i="4"/>
  <c r="B9" i="4"/>
  <c r="N8" i="4"/>
  <c r="T8" i="4" s="1"/>
  <c r="K8" i="4"/>
  <c r="G8" i="4"/>
  <c r="C8" i="4"/>
  <c r="R8" i="4" s="1"/>
  <c r="S8" i="4" s="1"/>
  <c r="B8" i="4"/>
  <c r="Q8" i="4" s="1"/>
  <c r="N7" i="4"/>
  <c r="T7" i="4" s="1"/>
  <c r="K7" i="4"/>
  <c r="G7" i="4"/>
  <c r="B7" i="4"/>
  <c r="Q7" i="4" s="1"/>
  <c r="N6" i="4"/>
  <c r="T6" i="4" s="1"/>
  <c r="K6" i="4"/>
  <c r="G6" i="4"/>
  <c r="B6" i="4"/>
  <c r="Q6" i="4" s="1"/>
  <c r="N5" i="4"/>
  <c r="T5" i="4" s="1"/>
  <c r="K5" i="4"/>
  <c r="G5" i="4"/>
  <c r="C5" i="4"/>
  <c r="R5" i="4" s="1"/>
  <c r="S5" i="4" s="1"/>
  <c r="B5" i="4"/>
  <c r="Q5" i="4" s="1"/>
  <c r="N4" i="4"/>
  <c r="T4" i="4" s="1"/>
  <c r="K4" i="4"/>
  <c r="K14" i="4" s="1"/>
  <c r="G4" i="4"/>
  <c r="G14" i="4" s="1"/>
  <c r="U18" i="20" s="1"/>
  <c r="C4" i="4"/>
  <c r="S17" i="20"/>
  <c r="G17" i="20"/>
  <c r="S16" i="20"/>
  <c r="G16" i="20"/>
  <c r="T14" i="20"/>
  <c r="S14" i="20"/>
  <c r="R14" i="20"/>
  <c r="Q14" i="20"/>
  <c r="U14" i="20" s="1"/>
  <c r="P14" i="20"/>
  <c r="H14" i="20"/>
  <c r="G14" i="20"/>
  <c r="F14" i="20"/>
  <c r="E14" i="20"/>
  <c r="D14" i="20"/>
  <c r="I14" i="20" s="1"/>
  <c r="T13" i="20"/>
  <c r="S13" i="20"/>
  <c r="R13" i="20"/>
  <c r="Q13" i="20"/>
  <c r="U13" i="20" s="1"/>
  <c r="P13" i="20"/>
  <c r="H13" i="20"/>
  <c r="G13" i="20"/>
  <c r="F13" i="20"/>
  <c r="E13" i="20"/>
  <c r="D13" i="20"/>
  <c r="I13" i="20" s="1"/>
  <c r="U12" i="20"/>
  <c r="G12" i="20"/>
  <c r="F12" i="20"/>
  <c r="E12" i="20"/>
  <c r="E9" i="20" s="1"/>
  <c r="D12" i="20"/>
  <c r="I12" i="20" s="1"/>
  <c r="H11" i="20"/>
  <c r="G11" i="20"/>
  <c r="F11" i="20"/>
  <c r="E11" i="20"/>
  <c r="D11" i="20"/>
  <c r="I11" i="20" s="1"/>
  <c r="U10" i="20"/>
  <c r="H10" i="20"/>
  <c r="G10" i="20"/>
  <c r="G9" i="20" s="1"/>
  <c r="F10" i="20"/>
  <c r="E10" i="20"/>
  <c r="D10" i="20"/>
  <c r="I10" i="20" s="1"/>
  <c r="S9" i="20"/>
  <c r="R9" i="20"/>
  <c r="Q9" i="20"/>
  <c r="H9" i="20"/>
  <c r="F9" i="20"/>
  <c r="D9" i="20"/>
  <c r="U8" i="20"/>
  <c r="G8" i="20"/>
  <c r="F8" i="20"/>
  <c r="F5" i="20" s="1"/>
  <c r="E8" i="20"/>
  <c r="D8" i="20"/>
  <c r="I8" i="20" s="1"/>
  <c r="H7" i="20"/>
  <c r="G7" i="20"/>
  <c r="F7" i="20"/>
  <c r="E7" i="20"/>
  <c r="I7" i="20" s="1"/>
  <c r="D7" i="20"/>
  <c r="U6" i="20"/>
  <c r="H6" i="20"/>
  <c r="H5" i="20" s="1"/>
  <c r="H3" i="20" s="1"/>
  <c r="G6" i="20"/>
  <c r="F6" i="20"/>
  <c r="E6" i="20"/>
  <c r="E5" i="20" s="1"/>
  <c r="D6" i="20"/>
  <c r="I6" i="20" s="1"/>
  <c r="S5" i="20"/>
  <c r="R5" i="20"/>
  <c r="Q5" i="20"/>
  <c r="G5" i="20"/>
  <c r="G2" i="20"/>
  <c r="S2" i="20" s="1"/>
  <c r="F2" i="20"/>
  <c r="R2" i="20" s="1"/>
  <c r="E2" i="20"/>
  <c r="Q2" i="20" s="1"/>
  <c r="D2" i="20"/>
  <c r="P2" i="20" s="1"/>
  <c r="T14" i="4" l="1"/>
  <c r="P14" i="6"/>
  <c r="D8" i="4"/>
  <c r="G15" i="4"/>
  <c r="I18" i="20" s="1"/>
  <c r="P15" i="6"/>
  <c r="I107" i="3"/>
  <c r="Q107" i="3"/>
  <c r="R107" i="3" s="1"/>
  <c r="R16" i="3"/>
  <c r="J109" i="3"/>
  <c r="L109" i="3" s="1"/>
  <c r="L18" i="3"/>
  <c r="I110" i="3"/>
  <c r="D114" i="3"/>
  <c r="Q11" i="6" s="1"/>
  <c r="T11" i="6" s="1"/>
  <c r="I114" i="3"/>
  <c r="F87" i="3"/>
  <c r="F95" i="3"/>
  <c r="O113" i="3"/>
  <c r="O114" i="3"/>
  <c r="I9" i="20"/>
  <c r="D5" i="20"/>
  <c r="I5" i="20" s="1"/>
  <c r="R4" i="4"/>
  <c r="M107" i="3"/>
  <c r="N16" i="3"/>
  <c r="Q108" i="3"/>
  <c r="R108" i="3" s="1"/>
  <c r="R17" i="3"/>
  <c r="F93" i="3"/>
  <c r="I111" i="3"/>
  <c r="I112" i="3"/>
  <c r="R113" i="3"/>
  <c r="D5" i="4"/>
  <c r="N14" i="4"/>
  <c r="M4" i="6"/>
  <c r="I108" i="3"/>
  <c r="I109" i="3"/>
  <c r="D111" i="3"/>
  <c r="Q8" i="6" s="1"/>
  <c r="T8" i="6" s="1"/>
  <c r="I113" i="3"/>
  <c r="F90" i="3"/>
  <c r="F15" i="3"/>
  <c r="D107" i="3"/>
  <c r="Q4" i="6" s="1"/>
  <c r="L107" i="3"/>
  <c r="I17" i="3"/>
  <c r="M108" i="3"/>
  <c r="D108" i="3" s="1"/>
  <c r="Q5" i="6" s="1"/>
  <c r="T5" i="6" s="1"/>
  <c r="N17" i="3"/>
  <c r="R18" i="3"/>
  <c r="P109" i="3"/>
  <c r="R109" i="3" s="1"/>
  <c r="O109" i="3"/>
  <c r="O110" i="3"/>
  <c r="F122" i="3"/>
  <c r="E110" i="3"/>
  <c r="J111" i="3"/>
  <c r="L111" i="3" s="1"/>
  <c r="P113" i="3"/>
  <c r="D113" i="3" s="1"/>
  <c r="E114" i="3"/>
  <c r="I115" i="3"/>
  <c r="E115" i="3"/>
  <c r="E116" i="3"/>
  <c r="R116" i="3"/>
  <c r="I124" i="3"/>
  <c r="F124" i="3" s="1"/>
  <c r="E124" i="3"/>
  <c r="C11" i="4" s="1"/>
  <c r="E125" i="3"/>
  <c r="C12" i="4" s="1"/>
  <c r="C38" i="11"/>
  <c r="D4" i="14"/>
  <c r="D8" i="14"/>
  <c r="D12" i="14"/>
  <c r="L88" i="3"/>
  <c r="Q22" i="20" s="1"/>
  <c r="E89" i="3"/>
  <c r="I89" i="3"/>
  <c r="R90" i="3"/>
  <c r="L92" i="3"/>
  <c r="F92" i="3" s="1"/>
  <c r="E93" i="3"/>
  <c r="R94" i="3"/>
  <c r="J110" i="3"/>
  <c r="D110" i="3" s="1"/>
  <c r="Q7" i="6" s="1"/>
  <c r="T7" i="6" s="1"/>
  <c r="P112" i="3"/>
  <c r="R112" i="3" s="1"/>
  <c r="J114" i="3"/>
  <c r="L114" i="3" s="1"/>
  <c r="P115" i="3"/>
  <c r="D115" i="3" s="1"/>
  <c r="Q12" i="6" s="1"/>
  <c r="T12" i="6" s="1"/>
  <c r="I120" i="3"/>
  <c r="F120" i="3" s="1"/>
  <c r="E120" i="3"/>
  <c r="C7" i="4" s="1"/>
  <c r="C14" i="4" s="1"/>
  <c r="D39" i="14"/>
  <c r="D43" i="14"/>
  <c r="D47" i="14"/>
  <c r="R19" i="3"/>
  <c r="R20" i="3"/>
  <c r="L21" i="3"/>
  <c r="L22" i="3"/>
  <c r="R23" i="3"/>
  <c r="L24" i="3"/>
  <c r="L25" i="3"/>
  <c r="R25" i="3"/>
  <c r="E88" i="3"/>
  <c r="O90" i="3"/>
  <c r="R22" i="20" s="1"/>
  <c r="E92" i="3"/>
  <c r="O94" i="3"/>
  <c r="E96" i="3"/>
  <c r="E112" i="3"/>
  <c r="R115" i="3"/>
  <c r="O116" i="3"/>
  <c r="I123" i="3"/>
  <c r="F123" i="3" s="1"/>
  <c r="L126" i="3"/>
  <c r="F126" i="3" s="1"/>
  <c r="C37" i="11"/>
  <c r="C39" i="11"/>
  <c r="D10" i="14"/>
  <c r="E87" i="3"/>
  <c r="R88" i="3"/>
  <c r="L90" i="3"/>
  <c r="E91" i="3"/>
  <c r="R92" i="3"/>
  <c r="L94" i="3"/>
  <c r="F94" i="3" s="1"/>
  <c r="E95" i="3"/>
  <c r="R96" i="3"/>
  <c r="F96" i="3" s="1"/>
  <c r="E111" i="3"/>
  <c r="I119" i="3"/>
  <c r="E122" i="3"/>
  <c r="C9" i="4" s="1"/>
  <c r="F125" i="3"/>
  <c r="O125" i="3"/>
  <c r="D126" i="3"/>
  <c r="B13" i="4" s="1"/>
  <c r="Q13" i="4" s="1"/>
  <c r="B13" i="2" s="1"/>
  <c r="C41" i="11"/>
  <c r="AF47" i="19"/>
  <c r="D41" i="14"/>
  <c r="D45" i="14"/>
  <c r="L118" i="3"/>
  <c r="E119" i="3"/>
  <c r="C6" i="4" s="1"/>
  <c r="L122" i="3"/>
  <c r="E123" i="3"/>
  <c r="C10" i="4" s="1"/>
  <c r="C9" i="11"/>
  <c r="C13" i="11"/>
  <c r="E15" i="11"/>
  <c r="I15" i="11"/>
  <c r="M15" i="11"/>
  <c r="F36" i="11"/>
  <c r="F44" i="11" s="1"/>
  <c r="L36" i="11"/>
  <c r="L44" i="11" s="1"/>
  <c r="H56" i="9"/>
  <c r="AI6" i="26"/>
  <c r="AI12" i="26" s="1"/>
  <c r="D7" i="14"/>
  <c r="D80" i="14"/>
  <c r="D109" i="14"/>
  <c r="D117" i="14"/>
  <c r="D117" i="3"/>
  <c r="B4" i="4" s="1"/>
  <c r="D4" i="4" s="1"/>
  <c r="E126" i="3"/>
  <c r="C13" i="4" s="1"/>
  <c r="C8" i="11"/>
  <c r="C15" i="11" s="1"/>
  <c r="C12" i="11"/>
  <c r="J15" i="11"/>
  <c r="C23" i="11"/>
  <c r="C28" i="11" s="1"/>
  <c r="H36" i="11"/>
  <c r="H44" i="11" s="1"/>
  <c r="G3" i="9"/>
  <c r="P7" i="20"/>
  <c r="F3" i="9"/>
  <c r="T7" i="20"/>
  <c r="T5" i="20" s="1"/>
  <c r="J3" i="9"/>
  <c r="I56" i="9"/>
  <c r="D5" i="14"/>
  <c r="D13" i="14"/>
  <c r="D78" i="14"/>
  <c r="D115" i="14"/>
  <c r="G44" i="11"/>
  <c r="K44" i="11"/>
  <c r="G15" i="11"/>
  <c r="K15" i="11"/>
  <c r="D36" i="11"/>
  <c r="D11" i="14"/>
  <c r="D76" i="14"/>
  <c r="D113" i="14"/>
  <c r="C10" i="11"/>
  <c r="C14" i="11"/>
  <c r="I3" i="9"/>
  <c r="P11" i="20"/>
  <c r="U11" i="20" s="1"/>
  <c r="F56" i="9"/>
  <c r="T11" i="20"/>
  <c r="T9" i="20" s="1"/>
  <c r="J56" i="9"/>
  <c r="D9" i="14"/>
  <c r="D74" i="14"/>
  <c r="D82" i="14"/>
  <c r="D111" i="14"/>
  <c r="P9" i="20"/>
  <c r="U9" i="20" s="1"/>
  <c r="T3" i="20"/>
  <c r="C5" i="6"/>
  <c r="D5" i="6" s="1"/>
  <c r="K67" i="3"/>
  <c r="K77" i="3" s="1"/>
  <c r="L77" i="3" s="1"/>
  <c r="C4" i="6"/>
  <c r="D4" i="6" s="1"/>
  <c r="I5" i="6"/>
  <c r="J5" i="6" s="1"/>
  <c r="I4" i="6"/>
  <c r="J4" i="6" s="1"/>
  <c r="O136" i="3"/>
  <c r="D103" i="14"/>
  <c r="H129" i="3"/>
  <c r="K132" i="3"/>
  <c r="N135" i="3"/>
  <c r="H127" i="3"/>
  <c r="H128" i="3"/>
  <c r="Q129" i="3"/>
  <c r="N130" i="3"/>
  <c r="K131" i="3"/>
  <c r="H132" i="3"/>
  <c r="Q133" i="3"/>
  <c r="N134" i="3"/>
  <c r="K135" i="3"/>
  <c r="H136" i="3"/>
  <c r="Q130" i="3"/>
  <c r="K136" i="3"/>
  <c r="Q127" i="3"/>
  <c r="Q128" i="3"/>
  <c r="N129" i="3"/>
  <c r="K130" i="3"/>
  <c r="H131" i="3"/>
  <c r="Q132" i="3"/>
  <c r="N133" i="3"/>
  <c r="K134" i="3"/>
  <c r="H135" i="3"/>
  <c r="Q136" i="3"/>
  <c r="K127" i="3"/>
  <c r="K128" i="3"/>
  <c r="N131" i="3"/>
  <c r="H133" i="3"/>
  <c r="Q134" i="3"/>
  <c r="N127" i="3"/>
  <c r="N128" i="3"/>
  <c r="K129" i="3"/>
  <c r="H130" i="3"/>
  <c r="Q131" i="3"/>
  <c r="N132" i="3"/>
  <c r="K133" i="3"/>
  <c r="H134" i="3"/>
  <c r="Q135" i="3"/>
  <c r="N67" i="3"/>
  <c r="O67" i="3" s="1"/>
  <c r="N97" i="3" s="1"/>
  <c r="O97" i="3" s="1"/>
  <c r="D11" i="6"/>
  <c r="F5" i="6"/>
  <c r="G5" i="6" s="1"/>
  <c r="C7" i="6"/>
  <c r="I8" i="6"/>
  <c r="J8" i="6" s="1"/>
  <c r="C10" i="6"/>
  <c r="D10" i="6" s="1"/>
  <c r="I12" i="6"/>
  <c r="J12" i="6" s="1"/>
  <c r="C13" i="6"/>
  <c r="F13" i="6"/>
  <c r="G13" i="6" s="1"/>
  <c r="C12" i="6"/>
  <c r="D12" i="6" s="1"/>
  <c r="I11" i="6"/>
  <c r="J11" i="6" s="1"/>
  <c r="I13" i="6"/>
  <c r="J13" i="6" s="1"/>
  <c r="F12" i="6"/>
  <c r="G12" i="6" s="1"/>
  <c r="I10" i="6"/>
  <c r="J10" i="6" s="1"/>
  <c r="I6" i="6"/>
  <c r="J6" i="6" s="1"/>
  <c r="F8" i="6"/>
  <c r="G8" i="6" s="1"/>
  <c r="I9" i="6"/>
  <c r="J9" i="6" s="1"/>
  <c r="K86" i="3"/>
  <c r="L86" i="3" s="1"/>
  <c r="L76" i="3"/>
  <c r="K106" i="3" s="1"/>
  <c r="L106" i="3" s="1"/>
  <c r="F4" i="6"/>
  <c r="F6" i="6"/>
  <c r="G6" i="6" s="1"/>
  <c r="I7" i="6"/>
  <c r="J7" i="6" s="1"/>
  <c r="C8" i="6"/>
  <c r="D8" i="6" s="1"/>
  <c r="F9" i="6"/>
  <c r="G9" i="6" s="1"/>
  <c r="F11" i="6"/>
  <c r="G11" i="6" s="1"/>
  <c r="C6" i="6"/>
  <c r="D6" i="6" s="1"/>
  <c r="F7" i="6"/>
  <c r="G7" i="6" s="1"/>
  <c r="C9" i="6"/>
  <c r="F10" i="6"/>
  <c r="G10" i="6" s="1"/>
  <c r="H67" i="3"/>
  <c r="H68" i="3"/>
  <c r="Q69" i="3"/>
  <c r="N70" i="3"/>
  <c r="K71" i="3"/>
  <c r="H72" i="3"/>
  <c r="Q73" i="3"/>
  <c r="N74" i="3"/>
  <c r="K75" i="3"/>
  <c r="H76" i="3"/>
  <c r="Q67" i="3"/>
  <c r="Q68" i="3"/>
  <c r="N69" i="3"/>
  <c r="K70" i="3"/>
  <c r="H71" i="3"/>
  <c r="Q72" i="3"/>
  <c r="N73" i="3"/>
  <c r="K74" i="3"/>
  <c r="H75" i="3"/>
  <c r="Q76" i="3"/>
  <c r="N68" i="3"/>
  <c r="K69" i="3"/>
  <c r="H70" i="3"/>
  <c r="Q71" i="3"/>
  <c r="N72" i="3"/>
  <c r="K73" i="3"/>
  <c r="H74" i="3"/>
  <c r="Q75" i="3"/>
  <c r="N76" i="3"/>
  <c r="K68" i="3"/>
  <c r="H69" i="3"/>
  <c r="Q70" i="3"/>
  <c r="N71" i="3"/>
  <c r="K72" i="3"/>
  <c r="H73" i="3"/>
  <c r="Q74" i="3"/>
  <c r="N75" i="3"/>
  <c r="B11" i="2" l="1"/>
  <c r="E11" i="2"/>
  <c r="B7" i="2"/>
  <c r="E7" i="2"/>
  <c r="Q10" i="6"/>
  <c r="F113" i="3"/>
  <c r="B8" i="2"/>
  <c r="E8" i="2"/>
  <c r="E12" i="2"/>
  <c r="B12" i="2"/>
  <c r="B5" i="2"/>
  <c r="E5" i="2"/>
  <c r="R10" i="4"/>
  <c r="S10" i="4" s="1"/>
  <c r="D10" i="4"/>
  <c r="R9" i="4"/>
  <c r="S9" i="4" s="1"/>
  <c r="D9" i="4"/>
  <c r="R12" i="4"/>
  <c r="S12" i="4" s="1"/>
  <c r="D12" i="4"/>
  <c r="F116" i="3"/>
  <c r="R13" i="6"/>
  <c r="S13" i="6" s="1"/>
  <c r="D109" i="3"/>
  <c r="M15" i="6"/>
  <c r="M14" i="6"/>
  <c r="F88" i="3"/>
  <c r="N107" i="3"/>
  <c r="O16" i="3"/>
  <c r="D112" i="3"/>
  <c r="Q9" i="6" s="1"/>
  <c r="T9" i="6" s="1"/>
  <c r="D4" i="20"/>
  <c r="P4" i="20"/>
  <c r="F114" i="3"/>
  <c r="R11" i="6"/>
  <c r="S11" i="6" s="1"/>
  <c r="C36" i="11"/>
  <c r="D44" i="11"/>
  <c r="C44" i="11" s="1"/>
  <c r="R13" i="4"/>
  <c r="S13" i="4" s="1"/>
  <c r="D13" i="4"/>
  <c r="F119" i="3"/>
  <c r="D17" i="20"/>
  <c r="P17" i="20"/>
  <c r="S22" i="20"/>
  <c r="F89" i="3"/>
  <c r="P22" i="20"/>
  <c r="U22" i="20" s="1"/>
  <c r="R11" i="4"/>
  <c r="S11" i="4" s="1"/>
  <c r="D11" i="4"/>
  <c r="F115" i="3"/>
  <c r="R12" i="6"/>
  <c r="S12" i="6" s="1"/>
  <c r="L110" i="3"/>
  <c r="E4" i="20" s="1"/>
  <c r="E3" i="20" s="1"/>
  <c r="F118" i="3"/>
  <c r="Q17" i="20"/>
  <c r="Q16" i="20" s="1"/>
  <c r="E17" i="20"/>
  <c r="E16" i="20" s="1"/>
  <c r="R7" i="4"/>
  <c r="S7" i="4" s="1"/>
  <c r="D7" i="4"/>
  <c r="P5" i="20"/>
  <c r="U7" i="20"/>
  <c r="B14" i="4"/>
  <c r="Q4" i="4"/>
  <c r="R6" i="4"/>
  <c r="S6" i="4" s="1"/>
  <c r="D6" i="4"/>
  <c r="D15" i="4" s="1"/>
  <c r="R17" i="20"/>
  <c r="R16" i="20" s="1"/>
  <c r="F17" i="20"/>
  <c r="F16" i="20" s="1"/>
  <c r="F111" i="3"/>
  <c r="R8" i="6"/>
  <c r="S8" i="6" s="1"/>
  <c r="F112" i="3"/>
  <c r="R9" i="6"/>
  <c r="S9" i="6" s="1"/>
  <c r="F110" i="3"/>
  <c r="R7" i="6"/>
  <c r="S7" i="6" s="1"/>
  <c r="N108" i="3"/>
  <c r="O17" i="3"/>
  <c r="S4" i="20"/>
  <c r="S3" i="20" s="1"/>
  <c r="G4" i="20"/>
  <c r="G3" i="20" s="1"/>
  <c r="T4" i="6"/>
  <c r="L67" i="3"/>
  <c r="K97" i="3" s="1"/>
  <c r="L97" i="3" s="1"/>
  <c r="U8" i="6"/>
  <c r="C8" i="2" s="1"/>
  <c r="D8" i="2" s="1"/>
  <c r="I8" i="2" s="1"/>
  <c r="U10" i="6"/>
  <c r="U6" i="6"/>
  <c r="C6" i="2" s="1"/>
  <c r="D64" i="14"/>
  <c r="L132" i="3"/>
  <c r="D65" i="14"/>
  <c r="L133" i="3"/>
  <c r="D61" i="14"/>
  <c r="L129" i="3"/>
  <c r="D30" i="14"/>
  <c r="I133" i="3"/>
  <c r="E133" i="3"/>
  <c r="L10" i="4" s="1"/>
  <c r="M10" i="4" s="1"/>
  <c r="R136" i="3"/>
  <c r="D138" i="14"/>
  <c r="R132" i="3"/>
  <c r="D134" i="14"/>
  <c r="R128" i="3"/>
  <c r="D130" i="14"/>
  <c r="D33" i="14"/>
  <c r="I136" i="3"/>
  <c r="E136" i="3"/>
  <c r="L13" i="4" s="1"/>
  <c r="M13" i="4" s="1"/>
  <c r="D29" i="14"/>
  <c r="I132" i="3"/>
  <c r="E132" i="3"/>
  <c r="L9" i="4" s="1"/>
  <c r="M9" i="4" s="1"/>
  <c r="D25" i="14"/>
  <c r="I128" i="3"/>
  <c r="E128" i="3"/>
  <c r="L5" i="4" s="1"/>
  <c r="M5" i="4" s="1"/>
  <c r="D26" i="14"/>
  <c r="I129" i="3"/>
  <c r="E129" i="3"/>
  <c r="L6" i="4" s="1"/>
  <c r="M6" i="4" s="1"/>
  <c r="D31" i="14"/>
  <c r="E134" i="3"/>
  <c r="L11" i="4" s="1"/>
  <c r="M11" i="4" s="1"/>
  <c r="I134" i="3"/>
  <c r="D136" i="14"/>
  <c r="R134" i="3"/>
  <c r="D59" i="14"/>
  <c r="L127" i="3"/>
  <c r="D96" i="14"/>
  <c r="O129" i="3"/>
  <c r="D135" i="14"/>
  <c r="R133" i="3"/>
  <c r="O128" i="3"/>
  <c r="D95" i="14"/>
  <c r="D63" i="14"/>
  <c r="L131" i="3"/>
  <c r="D27" i="14"/>
  <c r="I130" i="3"/>
  <c r="E130" i="3"/>
  <c r="L7" i="4" s="1"/>
  <c r="M7" i="4" s="1"/>
  <c r="D100" i="14"/>
  <c r="O133" i="3"/>
  <c r="D132" i="14"/>
  <c r="R130" i="3"/>
  <c r="R129" i="3"/>
  <c r="D131" i="14"/>
  <c r="O132" i="3"/>
  <c r="D99" i="14"/>
  <c r="D98" i="14"/>
  <c r="O131" i="3"/>
  <c r="I135" i="3"/>
  <c r="E135" i="3"/>
  <c r="L12" i="4" s="1"/>
  <c r="M12" i="4" s="1"/>
  <c r="D32" i="14"/>
  <c r="I131" i="3"/>
  <c r="E131" i="3"/>
  <c r="L8" i="4" s="1"/>
  <c r="M8" i="4" s="1"/>
  <c r="D28" i="14"/>
  <c r="R127" i="3"/>
  <c r="D129" i="14"/>
  <c r="D67" i="14"/>
  <c r="L135" i="3"/>
  <c r="I127" i="3"/>
  <c r="E127" i="3"/>
  <c r="L4" i="4" s="1"/>
  <c r="D24" i="14"/>
  <c r="D137" i="14"/>
  <c r="R135" i="3"/>
  <c r="R131" i="3"/>
  <c r="D133" i="14"/>
  <c r="D94" i="14"/>
  <c r="O127" i="3"/>
  <c r="D60" i="14"/>
  <c r="L128" i="3"/>
  <c r="L134" i="3"/>
  <c r="D66" i="14"/>
  <c r="L130" i="3"/>
  <c r="D62" i="14"/>
  <c r="D68" i="14"/>
  <c r="L136" i="3"/>
  <c r="O134" i="3"/>
  <c r="D101" i="14"/>
  <c r="O130" i="3"/>
  <c r="D97" i="14"/>
  <c r="D102" i="14"/>
  <c r="O135" i="3"/>
  <c r="N77" i="3"/>
  <c r="O77" i="3" s="1"/>
  <c r="H83" i="3"/>
  <c r="I73" i="3"/>
  <c r="E73" i="3"/>
  <c r="H79" i="3"/>
  <c r="I69" i="3"/>
  <c r="E69" i="3"/>
  <c r="I74" i="3"/>
  <c r="E74" i="3"/>
  <c r="H84" i="3"/>
  <c r="I70" i="3"/>
  <c r="E70" i="3"/>
  <c r="H80" i="3"/>
  <c r="Q86" i="3"/>
  <c r="R86" i="3" s="1"/>
  <c r="R76" i="3"/>
  <c r="Q106" i="3" s="1"/>
  <c r="R106" i="3" s="1"/>
  <c r="Q82" i="3"/>
  <c r="R82" i="3" s="1"/>
  <c r="R72" i="3"/>
  <c r="Q102" i="3" s="1"/>
  <c r="R102" i="3" s="1"/>
  <c r="Q78" i="3"/>
  <c r="R78" i="3" s="1"/>
  <c r="R68" i="3"/>
  <c r="Q98" i="3" s="1"/>
  <c r="R98" i="3" s="1"/>
  <c r="N84" i="3"/>
  <c r="O84" i="3" s="1"/>
  <c r="O74" i="3"/>
  <c r="N104" i="3" s="1"/>
  <c r="O104" i="3" s="1"/>
  <c r="N80" i="3"/>
  <c r="O80" i="3" s="1"/>
  <c r="O70" i="3"/>
  <c r="N100" i="3" s="1"/>
  <c r="O100" i="3" s="1"/>
  <c r="H77" i="3"/>
  <c r="I67" i="3"/>
  <c r="E67" i="3"/>
  <c r="J14" i="6"/>
  <c r="J15" i="6"/>
  <c r="K82" i="3"/>
  <c r="L82" i="3" s="1"/>
  <c r="L72" i="3"/>
  <c r="K102" i="3" s="1"/>
  <c r="L102" i="3" s="1"/>
  <c r="K78" i="3"/>
  <c r="L78" i="3" s="1"/>
  <c r="L68" i="3"/>
  <c r="K98" i="3" s="1"/>
  <c r="L98" i="3" s="1"/>
  <c r="L73" i="3"/>
  <c r="K103" i="3" s="1"/>
  <c r="L103" i="3" s="1"/>
  <c r="K83" i="3"/>
  <c r="L83" i="3" s="1"/>
  <c r="L69" i="3"/>
  <c r="K99" i="3" s="1"/>
  <c r="L99" i="3" s="1"/>
  <c r="K79" i="3"/>
  <c r="L79" i="3" s="1"/>
  <c r="H85" i="3"/>
  <c r="I75" i="3"/>
  <c r="E75" i="3"/>
  <c r="H81" i="3"/>
  <c r="I71" i="3"/>
  <c r="E71" i="3"/>
  <c r="R67" i="3"/>
  <c r="Q97" i="3" s="1"/>
  <c r="R97" i="3" s="1"/>
  <c r="Q77" i="3"/>
  <c r="R77" i="3" s="1"/>
  <c r="Q83" i="3"/>
  <c r="R83" i="3" s="1"/>
  <c r="R73" i="3"/>
  <c r="Q103" i="3" s="1"/>
  <c r="R103" i="3" s="1"/>
  <c r="Q79" i="3"/>
  <c r="R79" i="3" s="1"/>
  <c r="R69" i="3"/>
  <c r="Q99" i="3" s="1"/>
  <c r="R99" i="3" s="1"/>
  <c r="F14" i="6"/>
  <c r="G4" i="6"/>
  <c r="D13" i="6"/>
  <c r="U13" i="6"/>
  <c r="N85" i="3"/>
  <c r="O85" i="3" s="1"/>
  <c r="O75" i="3"/>
  <c r="N105" i="3" s="1"/>
  <c r="O105" i="3" s="1"/>
  <c r="N81" i="3"/>
  <c r="O81" i="3" s="1"/>
  <c r="O71" i="3"/>
  <c r="N101" i="3" s="1"/>
  <c r="O101" i="3" s="1"/>
  <c r="O76" i="3"/>
  <c r="N106" i="3" s="1"/>
  <c r="O106" i="3" s="1"/>
  <c r="N86" i="3"/>
  <c r="O86" i="3" s="1"/>
  <c r="O72" i="3"/>
  <c r="N102" i="3" s="1"/>
  <c r="O102" i="3" s="1"/>
  <c r="N82" i="3"/>
  <c r="O82" i="3" s="1"/>
  <c r="O68" i="3"/>
  <c r="N98" i="3" s="1"/>
  <c r="O98" i="3" s="1"/>
  <c r="N78" i="3"/>
  <c r="O78" i="3" s="1"/>
  <c r="K84" i="3"/>
  <c r="L84" i="3" s="1"/>
  <c r="L74" i="3"/>
  <c r="K104" i="3" s="1"/>
  <c r="L104" i="3" s="1"/>
  <c r="K80" i="3"/>
  <c r="L80" i="3" s="1"/>
  <c r="L70" i="3"/>
  <c r="K100" i="3" s="1"/>
  <c r="L100" i="3" s="1"/>
  <c r="H86" i="3"/>
  <c r="I76" i="3"/>
  <c r="E76" i="3"/>
  <c r="H82" i="3"/>
  <c r="I72" i="3"/>
  <c r="E72" i="3"/>
  <c r="H78" i="3"/>
  <c r="I68" i="3"/>
  <c r="E68" i="3"/>
  <c r="D9" i="6"/>
  <c r="C14" i="6"/>
  <c r="D7" i="6"/>
  <c r="U7" i="6"/>
  <c r="U11" i="6"/>
  <c r="Q84" i="3"/>
  <c r="R84" i="3" s="1"/>
  <c r="R74" i="3"/>
  <c r="Q104" i="3" s="1"/>
  <c r="R104" i="3" s="1"/>
  <c r="Q80" i="3"/>
  <c r="R80" i="3" s="1"/>
  <c r="R70" i="3"/>
  <c r="Q100" i="3" s="1"/>
  <c r="R100" i="3" s="1"/>
  <c r="R75" i="3"/>
  <c r="Q105" i="3" s="1"/>
  <c r="R105" i="3" s="1"/>
  <c r="Q85" i="3"/>
  <c r="R85" i="3" s="1"/>
  <c r="R71" i="3"/>
  <c r="Q101" i="3" s="1"/>
  <c r="R101" i="3" s="1"/>
  <c r="Q81" i="3"/>
  <c r="R81" i="3" s="1"/>
  <c r="N83" i="3"/>
  <c r="O83" i="3" s="1"/>
  <c r="O73" i="3"/>
  <c r="N103" i="3" s="1"/>
  <c r="O103" i="3" s="1"/>
  <c r="N79" i="3"/>
  <c r="O79" i="3" s="1"/>
  <c r="O69" i="3"/>
  <c r="N99" i="3" s="1"/>
  <c r="O99" i="3" s="1"/>
  <c r="K85" i="3"/>
  <c r="L85" i="3" s="1"/>
  <c r="L75" i="3"/>
  <c r="K105" i="3" s="1"/>
  <c r="L105" i="3" s="1"/>
  <c r="K81" i="3"/>
  <c r="L81" i="3" s="1"/>
  <c r="L71" i="3"/>
  <c r="K101" i="3" s="1"/>
  <c r="L101" i="3" s="1"/>
  <c r="I14" i="6"/>
  <c r="V8" i="6"/>
  <c r="Q14" i="4" l="1"/>
  <c r="B4" i="2"/>
  <c r="O107" i="3"/>
  <c r="E107" i="3"/>
  <c r="U12" i="6"/>
  <c r="V12" i="6" s="1"/>
  <c r="R14" i="4"/>
  <c r="O108" i="3"/>
  <c r="E108" i="3"/>
  <c r="D3" i="20"/>
  <c r="T10" i="6"/>
  <c r="S10" i="6"/>
  <c r="E4" i="2"/>
  <c r="S4" i="4"/>
  <c r="Q4" i="20"/>
  <c r="Q3" i="20" s="1"/>
  <c r="B9" i="2"/>
  <c r="E9" i="2"/>
  <c r="D14" i="4"/>
  <c r="I17" i="20"/>
  <c r="D16" i="20"/>
  <c r="I16" i="20" s="1"/>
  <c r="Q6" i="6"/>
  <c r="F109" i="3"/>
  <c r="C10" i="2"/>
  <c r="U9" i="6"/>
  <c r="V9" i="6" s="1"/>
  <c r="V10" i="6"/>
  <c r="P3" i="20"/>
  <c r="U5" i="20"/>
  <c r="P16" i="20"/>
  <c r="U16" i="20" s="1"/>
  <c r="U17" i="20"/>
  <c r="F130" i="3"/>
  <c r="F133" i="3"/>
  <c r="D15" i="6"/>
  <c r="C12" i="2"/>
  <c r="D12" i="2" s="1"/>
  <c r="I12" i="2" s="1"/>
  <c r="Q20" i="20"/>
  <c r="F132" i="3"/>
  <c r="M4" i="4"/>
  <c r="L14" i="4"/>
  <c r="F131" i="3"/>
  <c r="F128" i="3"/>
  <c r="R23" i="20"/>
  <c r="F23" i="20"/>
  <c r="F127" i="3"/>
  <c r="P23" i="20"/>
  <c r="D23" i="20"/>
  <c r="G23" i="20"/>
  <c r="S23" i="20"/>
  <c r="Q23" i="20"/>
  <c r="E23" i="20"/>
  <c r="F134" i="3"/>
  <c r="F129" i="3"/>
  <c r="F135" i="3"/>
  <c r="F136" i="3"/>
  <c r="R21" i="20"/>
  <c r="F21" i="20"/>
  <c r="F72" i="3"/>
  <c r="H102" i="3"/>
  <c r="I86" i="3"/>
  <c r="F86" i="3" s="1"/>
  <c r="E86" i="3"/>
  <c r="O13" i="4" s="1"/>
  <c r="P13" i="4" s="1"/>
  <c r="S20" i="20"/>
  <c r="G20" i="20"/>
  <c r="Q21" i="20"/>
  <c r="E21" i="20"/>
  <c r="I77" i="3"/>
  <c r="E77" i="3"/>
  <c r="O4" i="4" s="1"/>
  <c r="H104" i="3"/>
  <c r="F74" i="3"/>
  <c r="F68" i="3"/>
  <c r="H98" i="3"/>
  <c r="I82" i="3"/>
  <c r="F82" i="3" s="1"/>
  <c r="E82" i="3"/>
  <c r="O9" i="4" s="1"/>
  <c r="P9" i="4" s="1"/>
  <c r="G15" i="6"/>
  <c r="G14" i="6"/>
  <c r="F75" i="3"/>
  <c r="H105" i="3"/>
  <c r="H100" i="3"/>
  <c r="F70" i="3"/>
  <c r="F73" i="3"/>
  <c r="H103" i="3"/>
  <c r="E20" i="20"/>
  <c r="V11" i="6"/>
  <c r="C11" i="2"/>
  <c r="D11" i="2" s="1"/>
  <c r="I11" i="2" s="1"/>
  <c r="I78" i="3"/>
  <c r="F78" i="3" s="1"/>
  <c r="E78" i="3"/>
  <c r="O5" i="4" s="1"/>
  <c r="P5" i="4" s="1"/>
  <c r="F20" i="20"/>
  <c r="R20" i="20"/>
  <c r="F71" i="3"/>
  <c r="H101" i="3"/>
  <c r="I85" i="3"/>
  <c r="F85" i="3" s="1"/>
  <c r="E85" i="3"/>
  <c r="O12" i="4" s="1"/>
  <c r="P12" i="4" s="1"/>
  <c r="I84" i="3"/>
  <c r="F84" i="3" s="1"/>
  <c r="E84" i="3"/>
  <c r="O11" i="4" s="1"/>
  <c r="P11" i="4" s="1"/>
  <c r="F69" i="3"/>
  <c r="H99" i="3"/>
  <c r="I83" i="3"/>
  <c r="F83" i="3" s="1"/>
  <c r="E83" i="3"/>
  <c r="O10" i="4" s="1"/>
  <c r="P10" i="4" s="1"/>
  <c r="V7" i="6"/>
  <c r="C7" i="2"/>
  <c r="D7" i="2" s="1"/>
  <c r="I7" i="2" s="1"/>
  <c r="C9" i="2"/>
  <c r="D9" i="2" s="1"/>
  <c r="I9" i="2" s="1"/>
  <c r="F76" i="3"/>
  <c r="H106" i="3"/>
  <c r="V13" i="6"/>
  <c r="C13" i="2"/>
  <c r="D13" i="2" s="1"/>
  <c r="I13" i="2" s="1"/>
  <c r="S21" i="20"/>
  <c r="G21" i="20"/>
  <c r="I81" i="3"/>
  <c r="F81" i="3" s="1"/>
  <c r="E81" i="3"/>
  <c r="O8" i="4" s="1"/>
  <c r="P8" i="4" s="1"/>
  <c r="D14" i="6"/>
  <c r="H97" i="3"/>
  <c r="F67" i="3"/>
  <c r="I80" i="3"/>
  <c r="F80" i="3" s="1"/>
  <c r="E80" i="3"/>
  <c r="O7" i="4" s="1"/>
  <c r="P7" i="4" s="1"/>
  <c r="I79" i="3"/>
  <c r="F79" i="3" s="1"/>
  <c r="E79" i="3"/>
  <c r="O6" i="4" s="1"/>
  <c r="P6" i="4" s="1"/>
  <c r="E10" i="2" l="1"/>
  <c r="B10" i="2"/>
  <c r="R4" i="20"/>
  <c r="R3" i="20" s="1"/>
  <c r="U3" i="20" s="1"/>
  <c r="F4" i="20"/>
  <c r="D10" i="2"/>
  <c r="I10" i="2" s="1"/>
  <c r="T6" i="6"/>
  <c r="S6" i="6"/>
  <c r="Q14" i="6"/>
  <c r="S15" i="4"/>
  <c r="S14" i="4"/>
  <c r="F108" i="3"/>
  <c r="R5" i="6"/>
  <c r="F107" i="3"/>
  <c r="R4" i="6"/>
  <c r="R19" i="20"/>
  <c r="R15" i="20" s="1"/>
  <c r="Q19" i="20"/>
  <c r="Q15" i="20" s="1"/>
  <c r="I23" i="20"/>
  <c r="M14" i="4"/>
  <c r="M15" i="4"/>
  <c r="U23" i="20"/>
  <c r="F19" i="20"/>
  <c r="F15" i="20" s="1"/>
  <c r="E19" i="20"/>
  <c r="E15" i="20" s="1"/>
  <c r="E98" i="3"/>
  <c r="I5" i="4" s="1"/>
  <c r="I98" i="3"/>
  <c r="F98" i="3" s="1"/>
  <c r="O14" i="4"/>
  <c r="P4" i="4"/>
  <c r="G19" i="20"/>
  <c r="G15" i="20" s="1"/>
  <c r="E102" i="3"/>
  <c r="I9" i="4" s="1"/>
  <c r="I102" i="3"/>
  <c r="F102" i="3" s="1"/>
  <c r="I101" i="3"/>
  <c r="F101" i="3" s="1"/>
  <c r="E101" i="3"/>
  <c r="I8" i="4" s="1"/>
  <c r="E100" i="3"/>
  <c r="I7" i="4" s="1"/>
  <c r="I100" i="3"/>
  <c r="F100" i="3" s="1"/>
  <c r="F77" i="3"/>
  <c r="D21" i="20"/>
  <c r="I21" i="20" s="1"/>
  <c r="P21" i="20"/>
  <c r="U21" i="20" s="1"/>
  <c r="S19" i="20"/>
  <c r="S15" i="20" s="1"/>
  <c r="E103" i="3"/>
  <c r="I10" i="4" s="1"/>
  <c r="I103" i="3"/>
  <c r="F103" i="3" s="1"/>
  <c r="I105" i="3"/>
  <c r="F105" i="3" s="1"/>
  <c r="E105" i="3"/>
  <c r="I12" i="4" s="1"/>
  <c r="I97" i="3"/>
  <c r="E97" i="3"/>
  <c r="I4" i="4" s="1"/>
  <c r="E106" i="3"/>
  <c r="I13" i="4" s="1"/>
  <c r="I106" i="3"/>
  <c r="F106" i="3" s="1"/>
  <c r="E99" i="3"/>
  <c r="I6" i="4" s="1"/>
  <c r="I99" i="3"/>
  <c r="F99" i="3" s="1"/>
  <c r="E104" i="3"/>
  <c r="I11" i="4" s="1"/>
  <c r="I104" i="3"/>
  <c r="F104" i="3" s="1"/>
  <c r="S4" i="6" l="1"/>
  <c r="R14" i="6"/>
  <c r="U4" i="6"/>
  <c r="F3" i="20"/>
  <c r="I3" i="20" s="1"/>
  <c r="I4" i="20"/>
  <c r="B6" i="2"/>
  <c r="E6" i="2"/>
  <c r="E14" i="2" s="1"/>
  <c r="V6" i="6"/>
  <c r="T14" i="6"/>
  <c r="S5" i="6"/>
  <c r="U5" i="6"/>
  <c r="U4" i="20"/>
  <c r="J10" i="4"/>
  <c r="U10" i="4"/>
  <c r="P15" i="4"/>
  <c r="P14" i="4"/>
  <c r="J11" i="4"/>
  <c r="U11" i="4"/>
  <c r="J13" i="4"/>
  <c r="U13" i="4"/>
  <c r="J12" i="4"/>
  <c r="U12" i="4"/>
  <c r="J4" i="4"/>
  <c r="U4" i="4"/>
  <c r="I14" i="4"/>
  <c r="J7" i="4"/>
  <c r="U7" i="4"/>
  <c r="J9" i="4"/>
  <c r="U9" i="4"/>
  <c r="J6" i="4"/>
  <c r="U6" i="4"/>
  <c r="F97" i="3"/>
  <c r="P20" i="20"/>
  <c r="D20" i="20"/>
  <c r="J8" i="4"/>
  <c r="U8" i="4"/>
  <c r="J5" i="4"/>
  <c r="U5" i="4"/>
  <c r="V5" i="6" l="1"/>
  <c r="C5" i="2"/>
  <c r="D5" i="2" s="1"/>
  <c r="I5" i="2" s="1"/>
  <c r="C4" i="2"/>
  <c r="V4" i="6"/>
  <c r="U14" i="6"/>
  <c r="D6" i="2"/>
  <c r="I6" i="2" s="1"/>
  <c r="B14" i="2"/>
  <c r="S15" i="6"/>
  <c r="S14" i="6"/>
  <c r="V8" i="4"/>
  <c r="F8" i="2"/>
  <c r="G8" i="2" s="1"/>
  <c r="J8" i="2" s="1"/>
  <c r="V4" i="4"/>
  <c r="U14" i="4"/>
  <c r="F4" i="2"/>
  <c r="V13" i="4"/>
  <c r="F13" i="2"/>
  <c r="G13" i="2" s="1"/>
  <c r="J13" i="2" s="1"/>
  <c r="V6" i="4"/>
  <c r="F6" i="2"/>
  <c r="G6" i="2" s="1"/>
  <c r="J6" i="2" s="1"/>
  <c r="V7" i="4"/>
  <c r="F7" i="2"/>
  <c r="G7" i="2" s="1"/>
  <c r="J7" i="2" s="1"/>
  <c r="J14" i="4"/>
  <c r="J15" i="4"/>
  <c r="V5" i="4"/>
  <c r="F5" i="2"/>
  <c r="G5" i="2" s="1"/>
  <c r="J5" i="2" s="1"/>
  <c r="I20" i="20"/>
  <c r="D19" i="20"/>
  <c r="V12" i="4"/>
  <c r="F12" i="2"/>
  <c r="G12" i="2" s="1"/>
  <c r="J12" i="2" s="1"/>
  <c r="V11" i="4"/>
  <c r="F11" i="2"/>
  <c r="G11" i="2" s="1"/>
  <c r="J11" i="2" s="1"/>
  <c r="V10" i="4"/>
  <c r="F10" i="2"/>
  <c r="G10" i="2" s="1"/>
  <c r="J10" i="2" s="1"/>
  <c r="U20" i="20"/>
  <c r="P19" i="20"/>
  <c r="V9" i="4"/>
  <c r="F9" i="2"/>
  <c r="G9" i="2" s="1"/>
  <c r="J9" i="2" s="1"/>
  <c r="D4" i="2" l="1"/>
  <c r="C14" i="2"/>
  <c r="V15" i="6"/>
  <c r="V14" i="6"/>
  <c r="V14" i="4"/>
  <c r="V15" i="4"/>
  <c r="U19" i="20"/>
  <c r="P15" i="20"/>
  <c r="U15" i="20" s="1"/>
  <c r="I19" i="20"/>
  <c r="D15" i="20"/>
  <c r="I15" i="20" s="1"/>
  <c r="F14" i="2"/>
  <c r="G4" i="2"/>
  <c r="D14" i="2" l="1"/>
  <c r="I4" i="2"/>
  <c r="I14" i="2" s="1"/>
  <c r="J21" i="2" s="1"/>
  <c r="J17" i="2"/>
  <c r="B2" i="7" s="1"/>
  <c r="J4" i="2"/>
  <c r="J19" i="2"/>
  <c r="G14" i="2"/>
  <c r="O7" i="7" l="1"/>
  <c r="R7" i="7"/>
  <c r="L7" i="7"/>
  <c r="I7" i="7"/>
  <c r="F7" i="7"/>
  <c r="C7" i="7"/>
  <c r="C26" i="7"/>
  <c r="C42" i="7"/>
  <c r="K4" i="2"/>
  <c r="J14" i="2"/>
  <c r="J22" i="2" s="1"/>
  <c r="K5" i="2" l="1"/>
  <c r="K6" i="2" s="1"/>
  <c r="K7" i="2" s="1"/>
  <c r="K8" i="2" s="1"/>
  <c r="K9" i="2" s="1"/>
  <c r="K10" i="2" s="1"/>
  <c r="K11" i="2" s="1"/>
  <c r="K12" i="2" s="1"/>
  <c r="K13" i="2" s="1"/>
  <c r="L4" i="2"/>
  <c r="L5" i="2" l="1"/>
  <c r="L6" i="2" s="1"/>
  <c r="L7" i="2" s="1"/>
  <c r="L8" i="2" s="1"/>
  <c r="L9" i="2" s="1"/>
  <c r="L10" i="2" s="1"/>
  <c r="L11" i="2" s="1"/>
  <c r="L12" i="2" s="1"/>
  <c r="L13" i="2" s="1"/>
</calcChain>
</file>

<file path=xl/comments1.xml><?xml version="1.0" encoding="utf-8"?>
<comments xmlns="http://schemas.openxmlformats.org/spreadsheetml/2006/main">
  <authors>
    <author>KPMG</author>
  </authors>
  <commentList>
    <comment ref="I14" authorId="0" shapeId="0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>
  <authors>
    <author>Krok Martin</author>
  </authors>
  <commentList>
    <comment ref="AG47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comments3.xml><?xml version="1.0" encoding="utf-8"?>
<comments xmlns="http://schemas.openxmlformats.org/spreadsheetml/2006/main">
  <authors>
    <author>Krok Martin</author>
  </authors>
  <commentList>
    <comment ref="AG12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2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2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2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<sst xmlns="http://schemas.openxmlformats.org/spreadsheetml/2006/main" count="1558" uniqueCount="390">
  <si>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</si>
  <si>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</si>
  <si>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</si>
  <si>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</si>
  <si>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</si>
  <si>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</si>
  <si>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</si>
  <si>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</si>
  <si>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</si>
  <si>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</si>
  <si>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</si>
  <si>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</si>
  <si>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</si>
  <si>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</si>
  <si>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</si>
  <si>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</si>
  <si>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</si>
  <si>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</si>
  <si>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</si>
  <si>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</si>
  <si>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</si>
  <si>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</si>
  <si>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</si>
  <si>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</si>
  <si>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</si>
  <si>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</si>
  <si>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</si>
  <si>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</si>
  <si>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</si>
  <si>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</si>
  <si>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</si>
  <si>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</si>
  <si>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</si>
  <si>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</si>
  <si>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</si>
  <si>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</si>
  <si>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</si>
  <si>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</si>
  <si>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</si>
  <si>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</si>
  <si>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</si>
  <si>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</si>
  <si>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</si>
  <si>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</si>
  <si>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</si>
  <si>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</si>
  <si>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</si>
  <si>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</si>
  <si>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</si>
  <si>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</si>
  <si>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</si>
  <si>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</si>
  <si>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</si>
  <si>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</si>
  <si>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</si>
  <si>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</si>
  <si>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</si>
  <si>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    Titul, Meno, Priezvisko</t>
  </si>
  <si>
    <t xml:space="preserve">Kontakt na spracovateľa    </t>
  </si>
  <si>
    <t xml:space="preserve">    Email, telefón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</si>
  <si>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</si>
  <si>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</si>
  <si>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</si>
  <si>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</si>
  <si>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</si>
  <si>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</si>
  <si>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</si>
  <si>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</si>
  <si>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</si>
  <si>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</si>
  <si>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</si>
  <si>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</si>
  <si>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</si>
  <si>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</si>
  <si>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Aplikačný modul 1</t>
  </si>
  <si>
    <t>Aplikačný modul 2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</si>
  <si>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</si>
  <si>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</si>
  <si>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</si>
  <si>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</si>
  <si>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</si>
  <si>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</si>
  <si>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</si>
  <si>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</si>
  <si>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</si>
  <si>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</si>
  <si>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</si>
  <si>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</si>
  <si>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</si>
  <si>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</si>
  <si>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</si>
  <si>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</si>
  <si>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</si>
  <si>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</si>
  <si>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</si>
  <si>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</si>
  <si>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</si>
  <si>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</si>
  <si>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</si>
  <si>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</si>
  <si>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</si>
  <si>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</si>
  <si>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</si>
  <si>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</si>
  <si>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</si>
  <si>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</si>
  <si>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</si>
  <si>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</si>
  <si>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</si>
  <si>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</si>
  <si>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</si>
  <si>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</si>
  <si>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</si>
  <si>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</si>
  <si>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</si>
  <si>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</si>
  <si>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</si>
  <si>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</si>
  <si>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</si>
  <si>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</si>
  <si>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</si>
  <si>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</si>
  <si>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</si>
  <si>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</si>
  <si>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</si>
  <si>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</si>
  <si>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</si>
  <si>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</si>
  <si>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</si>
  <si>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</si>
  <si>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</si>
  <si>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</si>
  <si>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</si>
  <si>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</si>
  <si>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</si>
  <si>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</si>
  <si>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</si>
  <si>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</si>
  <si>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</si>
  <si>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</si>
  <si>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</si>
  <si>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</si>
  <si>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</si>
  <si>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</si>
  <si>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</si>
  <si>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</si>
  <si>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</si>
  <si>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</si>
  <si>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</si>
  <si>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</si>
  <si>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</si>
  <si>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</si>
  <si>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</si>
  <si>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</si>
  <si>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Rate FTE externé</t>
  </si>
  <si>
    <t>Suma interné</t>
  </si>
  <si>
    <t>Suma externé</t>
  </si>
  <si>
    <t xml:space="preserve">   Implementácia služieb </t>
  </si>
  <si>
    <t xml:space="preserve">   Testovanie služieb </t>
  </si>
  <si>
    <t xml:space="preserve">   Nasadenie</t>
  </si>
  <si>
    <t>Integrácie a migrácie</t>
  </si>
  <si>
    <t xml:space="preserve">   Podora pri realizácii integrácií a migrácií IS VS 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</si>
  <si>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</si>
  <si>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</si>
  <si>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</si>
  <si>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</si>
  <si>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</si>
  <si>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</si>
  <si>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</si>
  <si>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 xml:space="preserve"> </t>
  </si>
  <si>
    <t>Modul 2</t>
  </si>
  <si>
    <t>Modul 3</t>
  </si>
  <si>
    <t>Modul 4</t>
  </si>
  <si>
    <t>Modul 5</t>
  </si>
  <si>
    <t>Modul6</t>
  </si>
  <si>
    <t>Modul N</t>
  </si>
  <si>
    <t>Modul 1 (príklad)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</si>
  <si>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</si>
  <si>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</si>
  <si>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</si>
  <si>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</si>
  <si>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</si>
  <si>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</si>
  <si>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</si>
  <si>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</si>
  <si>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</si>
  <si>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</si>
  <si>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</si>
  <si>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</si>
  <si>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</si>
  <si>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</si>
  <si>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</si>
  <si>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</si>
  <si>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</si>
  <si>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</si>
  <si>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</si>
  <si>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</si>
  <si>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</si>
  <si>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</si>
  <si>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</si>
  <si>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</si>
  <si>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</si>
  <si>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</si>
  <si>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</si>
  <si>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</si>
  <si>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</si>
  <si>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</si>
  <si>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</si>
  <si>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</si>
  <si>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</si>
  <si>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</si>
  <si>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</si>
  <si>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</si>
  <si>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</si>
  <si>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Aplikačný modul N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</si>
  <si>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</si>
  <si>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</si>
  <si>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</si>
  <si>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</si>
  <si>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</si>
  <si>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</si>
  <si>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</si>
  <si>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</si>
  <si>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</si>
  <si>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</si>
  <si>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</si>
  <si>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</si>
  <si>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Modul 1</t>
  </si>
  <si>
    <t>Prínosy</t>
  </si>
  <si>
    <t xml:space="preserve">Úradníci (€) </t>
  </si>
  <si>
    <t>Občania (€)</t>
  </si>
  <si>
    <t>Úradníci (FTE)</t>
  </si>
  <si>
    <t>Aplikačný modul 3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</si>
  <si>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</si>
  <si>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</si>
  <si>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</si>
  <si>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</si>
  <si>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</si>
  <si>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</si>
  <si>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</si>
  <si>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</si>
  <si>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</si>
  <si>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</si>
  <si>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</si>
  <si>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</si>
  <si>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</si>
  <si>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</si>
  <si>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</si>
  <si>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</si>
  <si>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</si>
  <si>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</si>
  <si>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</si>
  <si>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</si>
  <si>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</si>
  <si>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</si>
  <si>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</si>
  <si>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</si>
  <si>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</si>
  <si>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</si>
  <si>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</si>
  <si>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</si>
  <si>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</si>
  <si>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</si>
  <si>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</si>
  <si>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</si>
  <si>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</si>
  <si>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</si>
  <si>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</si>
  <si>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</si>
  <si>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</si>
  <si>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</si>
  <si>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</si>
  <si>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</si>
  <si>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</si>
  <si>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</si>
  <si>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</si>
  <si>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</si>
  <si>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</si>
  <si>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</si>
  <si>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</si>
  <si>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</si>
  <si>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</si>
  <si>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</si>
  <si>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</si>
  <si>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</si>
  <si>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</si>
  <si>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</si>
  <si>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</si>
  <si>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</si>
  <si>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</si>
  <si>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</si>
  <si>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</si>
  <si>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</si>
  <si>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</si>
  <si>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</si>
  <si>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</si>
  <si>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</si>
  <si>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</si>
  <si>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</si>
  <si>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</si>
  <si>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</si>
  <si>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</si>
  <si>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</si>
  <si>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</si>
  <si>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</si>
  <si>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</si>
  <si>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</si>
  <si>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</si>
  <si>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</si>
  <si>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</si>
  <si>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</si>
  <si>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</si>
  <si>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</si>
  <si>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</si>
  <si>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</si>
  <si>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</si>
  <si>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</si>
  <si>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</si>
  <si>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</si>
  <si>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</si>
  <si>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</si>
  <si>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</si>
  <si>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</si>
  <si>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</si>
  <si>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</si>
  <si>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</si>
  <si>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</si>
  <si>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</si>
  <si>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</si>
  <si>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</si>
  <si>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</si>
  <si>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</si>
  <si>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</si>
  <si>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</si>
  <si>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</si>
  <si>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</si>
  <si>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</si>
  <si>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 xml:space="preserve">   Analýza a dizajn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</si>
  <si>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</si>
  <si>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</si>
  <si>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</si>
  <si>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</si>
  <si>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</si>
  <si>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</si>
  <si>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</si>
  <si>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</si>
  <si>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</si>
  <si>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</si>
  <si>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</si>
  <si>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</si>
  <si>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</si>
  <si>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</si>
  <si>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Jednotková cena (eur)</t>
  </si>
  <si>
    <t>Celková suma (eur)</t>
  </si>
  <si>
    <t>Zdroj ceny</t>
  </si>
  <si>
    <t>Licencia ORACLE</t>
  </si>
  <si>
    <t>ks</t>
  </si>
  <si>
    <t>Blade server HP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</si>
  <si>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</si>
  <si>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</si>
  <si>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</si>
  <si>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</si>
  <si>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</si>
  <si>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</si>
  <si>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</si>
  <si>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</si>
  <si>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</si>
  <si>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</si>
  <si>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</si>
  <si>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</si>
  <si>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</si>
  <si>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</si>
  <si>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</si>
  <si>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</si>
  <si>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</si>
  <si>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"Out of scope" - HW nesúvisiaci priamo s projektom</t>
  </si>
  <si>
    <t>Aho</t>
  </si>
  <si>
    <t>Koncová služba</t>
  </si>
  <si>
    <t>Koncová služba 1</t>
  </si>
  <si>
    <t>Koncová služba 2</t>
  </si>
  <si>
    <t>Koncová služba N</t>
  </si>
  <si>
    <t>Koncová služba 3, Koncová služba 4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</si>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</sst>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#,##0_ ;\-#,##0;\-;@"/>
    <numFmt numFmtId="167" formatCode="0.00;\-0.00;\-;@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8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80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7" fillId="4" borderId="73" xfId="2" applyNumberFormat="1" applyBorder="1"/>
    <xf numFmtId="0" fontId="2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4" fillId="5" borderId="84" xfId="3" applyNumberFormat="1" applyFont="1" applyBorder="1" applyAlignment="1">
      <alignment vertical="top" wrapText="1"/>
    </xf>
    <xf numFmtId="3" fontId="14" fillId="5" borderId="53" xfId="3" applyNumberFormat="1" applyFont="1" applyBorder="1" applyAlignment="1">
      <alignment vertical="top" wrapText="1"/>
    </xf>
    <xf numFmtId="3" fontId="14" fillId="5" borderId="54" xfId="3" applyNumberFormat="1" applyFont="1" applyBorder="1" applyAlignment="1">
      <alignment vertical="top" wrapText="1"/>
    </xf>
    <xf numFmtId="3" fontId="14" fillId="5" borderId="41" xfId="3" applyNumberFormat="1" applyFont="1" applyBorder="1" applyAlignment="1">
      <alignment vertical="top" wrapText="1"/>
    </xf>
    <xf numFmtId="3" fontId="14" fillId="5" borderId="17" xfId="3" applyNumberFormat="1" applyFont="1" applyBorder="1" applyAlignment="1">
      <alignment vertical="top" wrapText="1"/>
    </xf>
    <xf numFmtId="3" fontId="14" fillId="5" borderId="55" xfId="3" applyNumberFormat="1" applyFont="1" applyBorder="1" applyAlignment="1">
      <alignment vertical="top" wrapText="1"/>
    </xf>
    <xf numFmtId="3" fontId="14" fillId="5" borderId="85" xfId="3" applyNumberFormat="1" applyFont="1" applyBorder="1" applyAlignment="1">
      <alignment vertical="top" wrapText="1"/>
    </xf>
    <xf numFmtId="3" fontId="14" fillId="5" borderId="56" xfId="3" applyNumberFormat="1" applyFont="1" applyBorder="1" applyAlignment="1">
      <alignment vertical="top" wrapText="1"/>
    </xf>
    <xf numFmtId="3" fontId="14" fillId="5" borderId="57" xfId="3" applyNumberFormat="1" applyFont="1" applyBorder="1" applyAlignment="1">
      <alignment vertical="top" wrapText="1"/>
    </xf>
    <xf numFmtId="3" fontId="14" fillId="5" borderId="84" xfId="3" applyNumberFormat="1" applyFont="1" applyBorder="1" applyAlignment="1">
      <alignment horizontal="right" vertical="top" wrapText="1"/>
    </xf>
    <xf numFmtId="3" fontId="14" fillId="5" borderId="53" xfId="3" applyNumberFormat="1" applyFont="1" applyBorder="1" applyAlignment="1">
      <alignment horizontal="right" vertical="top" wrapText="1"/>
    </xf>
    <xf numFmtId="3" fontId="14" fillId="5" borderId="41" xfId="3" applyNumberFormat="1" applyFont="1" applyBorder="1" applyAlignment="1">
      <alignment horizontal="right" vertical="top" wrapText="1"/>
    </xf>
    <xf numFmtId="3" fontId="14" fillId="5" borderId="17" xfId="3" applyNumberFormat="1" applyFont="1" applyBorder="1" applyAlignment="1">
      <alignment horizontal="right" vertical="top" wrapText="1"/>
    </xf>
    <xf numFmtId="3" fontId="14" fillId="5" borderId="85" xfId="3" applyNumberFormat="1" applyFont="1" applyBorder="1" applyAlignment="1">
      <alignment horizontal="right" vertical="top" wrapText="1"/>
    </xf>
    <xf numFmtId="3" fontId="14" fillId="5" borderId="56" xfId="3" applyNumberFormat="1" applyFont="1" applyBorder="1" applyAlignment="1">
      <alignment horizontal="right" vertical="top" wrapText="1"/>
    </xf>
    <xf numFmtId="3" fontId="14" fillId="5" borderId="54" xfId="3" applyNumberFormat="1" applyFont="1" applyBorder="1" applyAlignment="1">
      <alignment horizontal="right" vertical="top" wrapText="1"/>
    </xf>
    <xf numFmtId="3" fontId="14" fillId="5" borderId="55" xfId="3" applyNumberFormat="1" applyFont="1" applyBorder="1" applyAlignment="1">
      <alignment horizontal="right" vertical="top" wrapText="1"/>
    </xf>
    <xf numFmtId="3" fontId="14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3" fontId="7" fillId="4" borderId="96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3" fontId="7" fillId="4" borderId="37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35" fillId="0" borderId="0" xfId="0" applyFont="1" applyBorder="1"/>
    <xf numFmtId="0" fontId="35" fillId="0" borderId="0" xfId="0" applyFont="1" applyFill="1" applyBorder="1" applyAlignment="1">
      <alignment horizontal="left"/>
    </xf>
    <xf numFmtId="0" fontId="41" fillId="14" borderId="29" xfId="0" applyFont="1" applyFill="1" applyBorder="1"/>
    <xf numFmtId="1" fontId="41" fillId="0" borderId="0" xfId="0" applyNumberFormat="1" applyFont="1" applyFill="1" applyBorder="1"/>
    <xf numFmtId="0" fontId="35" fillId="0" borderId="0" xfId="0" applyFont="1" applyFill="1"/>
    <xf numFmtId="0" fontId="42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90" xfId="2" applyNumberFormat="1" applyFont="1" applyBorder="1"/>
    <xf numFmtId="3" fontId="7" fillId="4" borderId="30" xfId="2" applyNumberFormat="1" applyFont="1" applyBorder="1"/>
    <xf numFmtId="3" fontId="7" fillId="4" borderId="102" xfId="2" applyNumberFormat="1" applyFont="1" applyBorder="1"/>
    <xf numFmtId="3" fontId="7" fillId="4" borderId="16" xfId="2" applyNumberFormat="1" applyFont="1" applyBorder="1"/>
    <xf numFmtId="4" fontId="7" fillId="4" borderId="103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5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8" xfId="2" applyNumberFormat="1" applyBorder="1" applyAlignment="1">
      <alignment horizontal="right" vertical="top" wrapText="1"/>
    </xf>
    <xf numFmtId="4" fontId="7" fillId="4" borderId="117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4" fontId="46" fillId="4" borderId="118" xfId="2" applyNumberFormat="1" applyFont="1" applyBorder="1" applyAlignment="1">
      <alignment horizontal="left" vertical="center" wrapText="1"/>
    </xf>
    <xf numFmtId="4" fontId="7" fillId="15" borderId="117" xfId="2" applyNumberFormat="1" applyFill="1" applyBorder="1" applyAlignment="1">
      <alignment horizontal="right" vertical="center" wrapText="1"/>
    </xf>
    <xf numFmtId="165" fontId="45" fillId="15" borderId="117" xfId="4" applyNumberFormat="1" applyFont="1" applyFill="1" applyBorder="1" applyAlignment="1">
      <alignment horizontal="right" vertical="center" wrapText="1"/>
    </xf>
    <xf numFmtId="3" fontId="45" fillId="15" borderId="117" xfId="4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right" vertical="center"/>
    </xf>
    <xf numFmtId="4" fontId="48" fillId="9" borderId="117" xfId="2" applyNumberFormat="1" applyFont="1" applyFill="1" applyBorder="1" applyAlignment="1">
      <alignment horizontal="right" vertical="center" wrapText="1"/>
    </xf>
    <xf numFmtId="165" fontId="49" fillId="9" borderId="117" xfId="4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vertical="center"/>
    </xf>
    <xf numFmtId="3" fontId="49" fillId="9" borderId="117" xfId="4" applyNumberFormat="1" applyFont="1" applyFill="1" applyBorder="1" applyAlignment="1">
      <alignment horizontal="right" vertical="center" wrapText="1"/>
    </xf>
    <xf numFmtId="2" fontId="3" fillId="17" borderId="80" xfId="1" applyNumberFormat="1" applyFont="1" applyFill="1" applyBorder="1" applyAlignment="1">
      <alignment vertical="top" wrapText="1"/>
    </xf>
    <xf numFmtId="1" fontId="51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3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3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2" xfId="0" applyFont="1" applyFill="1" applyBorder="1" applyAlignment="1">
      <alignment horizontal="right"/>
    </xf>
    <xf numFmtId="0" fontId="8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3" xfId="4" applyFont="1" applyFill="1" applyBorder="1" applyAlignment="1">
      <alignment wrapText="1"/>
    </xf>
    <xf numFmtId="9" fontId="8" fillId="19" borderId="124" xfId="4" applyFont="1" applyFill="1" applyBorder="1" applyAlignment="1">
      <alignment wrapText="1"/>
    </xf>
    <xf numFmtId="9" fontId="8" fillId="19" borderId="116" xfId="4" applyFont="1" applyFill="1" applyBorder="1" applyAlignment="1">
      <alignment wrapText="1"/>
    </xf>
    <xf numFmtId="0" fontId="41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6" fillId="12" borderId="13" xfId="0" applyFont="1" applyFill="1" applyBorder="1" applyAlignment="1">
      <alignment horizontal="center" vertical="center" wrapText="1"/>
    </xf>
    <xf numFmtId="0" fontId="38" fillId="17" borderId="135" xfId="0" applyFont="1" applyFill="1" applyBorder="1" applyAlignment="1">
      <alignment vertical="center"/>
    </xf>
    <xf numFmtId="0" fontId="38" fillId="17" borderId="134" xfId="0" applyFont="1" applyFill="1" applyBorder="1" applyAlignment="1">
      <alignment vertical="center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41" fillId="14" borderId="26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41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6" fillId="12" borderId="14" xfId="0" applyFont="1" applyFill="1" applyBorder="1" applyAlignment="1">
      <alignment horizontal="center" vertical="center"/>
    </xf>
    <xf numFmtId="0" fontId="36" fillId="12" borderId="23" xfId="0" applyFont="1" applyFill="1" applyBorder="1" applyAlignment="1">
      <alignment horizontal="center" vertical="center"/>
    </xf>
    <xf numFmtId="0" fontId="36" fillId="12" borderId="13" xfId="0" applyFont="1" applyFill="1" applyBorder="1" applyAlignment="1">
      <alignment horizontal="center" vertical="center"/>
    </xf>
    <xf numFmtId="0" fontId="36" fillId="12" borderId="24" xfId="0" applyFont="1" applyFill="1" applyBorder="1" applyAlignment="1">
      <alignment horizontal="center" vertical="center"/>
    </xf>
    <xf numFmtId="0" fontId="36" fillId="12" borderId="0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41" fillId="14" borderId="29" xfId="0" applyFont="1" applyFill="1" applyBorder="1" applyAlignment="1">
      <alignment horizontal="center" vertical="center"/>
    </xf>
    <xf numFmtId="0" fontId="35" fillId="17" borderId="130" xfId="0" applyFont="1" applyFill="1" applyBorder="1" applyAlignment="1">
      <alignment horizontal="center" vertical="center"/>
    </xf>
    <xf numFmtId="0" fontId="35" fillId="17" borderId="133" xfId="0" applyFont="1" applyFill="1" applyBorder="1" applyAlignment="1">
      <alignment horizontal="center" vertical="center"/>
    </xf>
    <xf numFmtId="0" fontId="36" fillId="12" borderId="8" xfId="0" applyFont="1" applyFill="1" applyBorder="1" applyAlignment="1">
      <alignment horizontal="left" vertical="center"/>
    </xf>
    <xf numFmtId="0" fontId="36" fillId="12" borderId="23" xfId="0" applyFont="1" applyFill="1" applyBorder="1" applyAlignment="1">
      <alignment horizontal="left" vertical="center"/>
    </xf>
    <xf numFmtId="0" fontId="40" fillId="17" borderId="135" xfId="0" applyFont="1" applyFill="1" applyBorder="1" applyAlignment="1">
      <alignment horizontal="left" vertical="center"/>
    </xf>
    <xf numFmtId="0" fontId="38" fillId="17" borderId="135" xfId="0" applyFont="1" applyFill="1" applyBorder="1" applyAlignment="1">
      <alignment horizontal="left" vertical="center"/>
    </xf>
    <xf numFmtId="0" fontId="39" fillId="17" borderId="135" xfId="0" applyFont="1" applyFill="1" applyBorder="1" applyAlignment="1">
      <alignment horizontal="left" vertical="center"/>
    </xf>
    <xf numFmtId="0" fontId="41" fillId="14" borderId="15" xfId="0" applyFont="1" applyFill="1" applyBorder="1" applyAlignment="1">
      <alignment horizontal="left" vertical="center"/>
    </xf>
    <xf numFmtId="3" fontId="7" fillId="4" borderId="143" xfId="2" applyNumberFormat="1" applyBorder="1" applyAlignment="1">
      <alignment horizontal="right" vertical="top" wrapText="1"/>
    </xf>
    <xf numFmtId="3" fontId="14" fillId="5" borderId="100" xfId="3" applyNumberFormat="1" applyFont="1" applyBorder="1" applyAlignment="1">
      <alignment horizontal="right" vertical="top" wrapText="1"/>
    </xf>
    <xf numFmtId="3" fontId="14" fillId="5" borderId="144" xfId="3" applyNumberFormat="1" applyFont="1" applyBorder="1" applyAlignment="1">
      <alignment horizontal="right" vertical="top" wrapText="1"/>
    </xf>
    <xf numFmtId="3" fontId="14" fillId="5" borderId="145" xfId="3" applyNumberFormat="1" applyFont="1" applyBorder="1" applyAlignment="1">
      <alignment horizontal="right" vertical="top" wrapText="1"/>
    </xf>
    <xf numFmtId="3" fontId="7" fillId="4" borderId="146" xfId="2" applyNumberFormat="1" applyBorder="1" applyAlignment="1">
      <alignment vertical="top" wrapText="1"/>
    </xf>
    <xf numFmtId="3" fontId="14" fillId="5" borderId="100" xfId="3" applyNumberFormat="1" applyFont="1" applyBorder="1" applyAlignment="1">
      <alignment vertical="top" wrapText="1"/>
    </xf>
    <xf numFmtId="3" fontId="14" fillId="5" borderId="144" xfId="3" applyNumberFormat="1" applyFont="1" applyBorder="1" applyAlignment="1">
      <alignment vertical="top" wrapText="1"/>
    </xf>
    <xf numFmtId="3" fontId="14" fillId="5" borderId="145" xfId="3" applyNumberFormat="1" applyFont="1" applyBorder="1" applyAlignment="1">
      <alignment vertical="top" wrapText="1"/>
    </xf>
    <xf numFmtId="3" fontId="7" fillId="4" borderId="106" xfId="2" applyNumberFormat="1" applyBorder="1" applyAlignment="1">
      <alignment horizontal="right" vertical="top" wrapText="1"/>
    </xf>
    <xf numFmtId="3" fontId="7" fillId="4" borderId="108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33" fillId="0" borderId="150" xfId="0" applyFont="1" applyBorder="1" applyAlignment="1">
      <alignment horizontal="center" wrapText="1"/>
    </xf>
    <xf numFmtId="0" fontId="33" fillId="0" borderId="152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5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4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47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17" borderId="113" xfId="0" applyFill="1" applyBorder="1"/>
    <xf numFmtId="0" fontId="37" fillId="0" borderId="24" xfId="0" applyFont="1" applyFill="1" applyBorder="1" applyAlignment="1">
      <alignment horizontal="left" vertical="center"/>
    </xf>
    <xf numFmtId="0" fontId="0" fillId="17" borderId="114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3" xfId="0" applyFill="1" applyBorder="1" applyAlignment="1">
      <alignment horizontal="center"/>
    </xf>
    <xf numFmtId="0" fontId="33" fillId="0" borderId="149" xfId="0" applyFont="1" applyBorder="1" applyAlignment="1">
      <alignment horizontal="center" wrapText="1"/>
    </xf>
    <xf numFmtId="0" fontId="0" fillId="17" borderId="124" xfId="0" applyFill="1" applyBorder="1" applyAlignment="1">
      <alignment horizontal="center"/>
    </xf>
    <xf numFmtId="0" fontId="34" fillId="9" borderId="69" xfId="0" applyFont="1" applyFill="1" applyBorder="1" applyAlignment="1">
      <alignment horizontal="left" vertical="top"/>
    </xf>
    <xf numFmtId="0" fontId="0" fillId="17" borderId="153" xfId="0" applyFill="1" applyBorder="1" applyAlignment="1"/>
    <xf numFmtId="0" fontId="0" fillId="17" borderId="147" xfId="0" applyFill="1" applyBorder="1" applyAlignment="1">
      <alignment horizontal="left"/>
    </xf>
    <xf numFmtId="0" fontId="0" fillId="17" borderId="147" xfId="0" applyFill="1" applyBorder="1" applyAlignment="1">
      <alignment horizontal="center"/>
    </xf>
    <xf numFmtId="0" fontId="0" fillId="17" borderId="148" xfId="0" applyFill="1" applyBorder="1"/>
    <xf numFmtId="0" fontId="33" fillId="0" borderId="151" xfId="0" applyFont="1" applyBorder="1" applyAlignment="1">
      <alignment wrapText="1"/>
    </xf>
    <xf numFmtId="0" fontId="0" fillId="17" borderId="123" xfId="0" applyFill="1" applyBorder="1" applyAlignment="1">
      <alignment horizontal="center"/>
    </xf>
    <xf numFmtId="0" fontId="0" fillId="17" borderId="125" xfId="0" applyFill="1" applyBorder="1" applyAlignment="1">
      <alignment horizontal="center"/>
    </xf>
    <xf numFmtId="0" fontId="0" fillId="17" borderId="125" xfId="0" applyFill="1" applyBorder="1"/>
    <xf numFmtId="0" fontId="33" fillId="0" borderId="29" xfId="0" applyFont="1" applyBorder="1" applyAlignment="1">
      <alignment horizontal="center" wrapText="1"/>
    </xf>
    <xf numFmtId="0" fontId="0" fillId="17" borderId="153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9" fillId="0" borderId="0" xfId="0" applyFont="1"/>
    <xf numFmtId="2" fontId="41" fillId="14" borderId="69" xfId="0" applyNumberFormat="1" applyFont="1" applyFill="1" applyBorder="1" applyAlignment="1">
      <alignment horizontal="center" vertical="center"/>
    </xf>
    <xf numFmtId="2" fontId="41" fillId="14" borderId="29" xfId="0" applyNumberFormat="1" applyFont="1" applyFill="1" applyBorder="1" applyAlignment="1">
      <alignment horizontal="center" vertical="center"/>
    </xf>
    <xf numFmtId="0" fontId="36" fillId="12" borderId="80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80" xfId="0" applyFont="1" applyFill="1" applyBorder="1" applyAlignment="1">
      <alignment vertical="center" wrapText="1"/>
    </xf>
    <xf numFmtId="0" fontId="8" fillId="9" borderId="154" xfId="0" applyFont="1" applyFill="1" applyBorder="1"/>
    <xf numFmtId="0" fontId="8" fillId="9" borderId="150" xfId="0" applyFont="1" applyFill="1" applyBorder="1"/>
    <xf numFmtId="0" fontId="8" fillId="9" borderId="152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3" fillId="17" borderId="156" xfId="0" applyFont="1" applyFill="1" applyBorder="1" applyAlignment="1">
      <alignment horizontal="center" vertical="center"/>
    </xf>
    <xf numFmtId="0" fontId="43" fillId="17" borderId="157" xfId="0" applyFont="1" applyFill="1" applyBorder="1" applyAlignment="1">
      <alignment horizontal="center" vertical="center"/>
    </xf>
    <xf numFmtId="0" fontId="43" fillId="17" borderId="158" xfId="0" applyFont="1" applyFill="1" applyBorder="1" applyAlignment="1">
      <alignment horizontal="center" vertical="center"/>
    </xf>
    <xf numFmtId="0" fontId="43" fillId="17" borderId="159" xfId="0" applyFont="1" applyFill="1" applyBorder="1" applyAlignment="1">
      <alignment horizontal="center" vertical="center"/>
    </xf>
    <xf numFmtId="0" fontId="43" fillId="17" borderId="160" xfId="0" applyFont="1" applyFill="1" applyBorder="1" applyAlignment="1">
      <alignment horizontal="center" vertical="center"/>
    </xf>
    <xf numFmtId="0" fontId="43" fillId="17" borderId="161" xfId="0" applyFont="1" applyFill="1" applyBorder="1" applyAlignment="1">
      <alignment horizontal="center" vertical="center"/>
    </xf>
    <xf numFmtId="0" fontId="43" fillId="17" borderId="162" xfId="0" applyFont="1" applyFill="1" applyBorder="1" applyAlignment="1">
      <alignment horizontal="center" vertical="center"/>
    </xf>
    <xf numFmtId="0" fontId="43" fillId="17" borderId="163" xfId="0" applyFont="1" applyFill="1" applyBorder="1" applyAlignment="1">
      <alignment horizontal="center" vertical="center"/>
    </xf>
    <xf numFmtId="0" fontId="43" fillId="17" borderId="164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2" fillId="21" borderId="114" xfId="6" applyFont="1" applyFill="1" applyBorder="1" applyAlignment="1">
      <alignment vertical="center"/>
    </xf>
    <xf numFmtId="0" fontId="62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5" xfId="0" applyFont="1" applyFill="1" applyBorder="1" applyProtection="1"/>
    <xf numFmtId="0" fontId="8" fillId="19" borderId="34" xfId="0" applyFont="1" applyFill="1" applyBorder="1" applyProtection="1"/>
    <xf numFmtId="0" fontId="8" fillId="19" borderId="113" xfId="0" applyFont="1" applyFill="1" applyBorder="1" applyProtection="1"/>
    <xf numFmtId="164" fontId="8" fillId="19" borderId="22" xfId="5" applyNumberFormat="1" applyFont="1" applyFill="1" applyBorder="1" applyProtection="1"/>
    <xf numFmtId="164" fontId="8" fillId="19" borderId="125" xfId="5" applyNumberFormat="1" applyFont="1" applyFill="1" applyBorder="1" applyProtection="1"/>
    <xf numFmtId="0" fontId="8" fillId="0" borderId="125" xfId="0" applyFont="1" applyBorder="1" applyProtection="1"/>
    <xf numFmtId="0" fontId="8" fillId="22" borderId="34" xfId="0" applyFont="1" applyFill="1" applyBorder="1" applyProtection="1"/>
    <xf numFmtId="0" fontId="8" fillId="22" borderId="113" xfId="0" applyFont="1" applyFill="1" applyBorder="1" applyProtection="1"/>
    <xf numFmtId="0" fontId="8" fillId="21" borderId="125" xfId="0" applyFont="1" applyFill="1" applyBorder="1" applyProtection="1"/>
    <xf numFmtId="0" fontId="8" fillId="21" borderId="34" xfId="0" applyFont="1" applyFill="1" applyBorder="1" applyProtection="1"/>
    <xf numFmtId="0" fontId="0" fillId="21" borderId="113" xfId="0" applyFont="1" applyFill="1" applyBorder="1" applyProtection="1"/>
    <xf numFmtId="0" fontId="8" fillId="21" borderId="122" xfId="0" applyFont="1" applyFill="1" applyBorder="1" applyProtection="1"/>
    <xf numFmtId="0" fontId="8" fillId="21" borderId="18" xfId="0" applyFont="1" applyFill="1" applyBorder="1" applyProtection="1"/>
    <xf numFmtId="0" fontId="0" fillId="21" borderId="116" xfId="0" applyFont="1" applyFill="1" applyBorder="1" applyProtection="1"/>
    <xf numFmtId="4" fontId="14" fillId="5" borderId="41" xfId="3" applyNumberFormat="1" applyFont="1" applyBorder="1" applyAlignment="1" applyProtection="1">
      <alignment horizontal="right" vertical="top" wrapText="1"/>
      <protection locked="0"/>
    </xf>
    <xf numFmtId="4" fontId="14" fillId="5" borderId="17" xfId="3" applyNumberFormat="1" applyFont="1" applyAlignment="1" applyProtection="1">
      <alignment horizontal="right" vertical="top" wrapText="1"/>
      <protection locked="0"/>
    </xf>
    <xf numFmtId="4" fontId="14" fillId="5" borderId="104" xfId="3" applyNumberFormat="1" applyFont="1" applyBorder="1" applyAlignment="1" applyProtection="1">
      <alignment horizontal="right" vertical="top" wrapText="1"/>
      <protection locked="0"/>
    </xf>
    <xf numFmtId="4" fontId="14" fillId="5" borderId="101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6" fontId="0" fillId="0" borderId="14" xfId="5" applyNumberFormat="1" applyFont="1" applyBorder="1" applyAlignment="1" applyProtection="1">
      <alignment horizontal="center" vertical="center" wrapText="1"/>
    </xf>
    <xf numFmtId="166" fontId="0" fillId="0" borderId="23" xfId="5" applyNumberFormat="1" applyFont="1" applyBorder="1" applyAlignment="1" applyProtection="1">
      <alignment horizontal="center" vertical="center" wrapText="1"/>
    </xf>
    <xf numFmtId="166" fontId="0" fillId="0" borderId="13" xfId="5" applyNumberFormat="1" applyFont="1" applyBorder="1" applyAlignment="1" applyProtection="1">
      <alignment horizontal="center" vertical="center" wrapText="1"/>
    </xf>
    <xf numFmtId="166" fontId="14" fillId="5" borderId="84" xfId="5" applyNumberFormat="1" applyFont="1" applyFill="1" applyBorder="1" applyAlignment="1" applyProtection="1">
      <alignment horizontal="center" vertical="center" wrapText="1"/>
    </xf>
    <xf numFmtId="166" fontId="14" fillId="5" borderId="53" xfId="5" applyNumberFormat="1" applyFont="1" applyFill="1" applyBorder="1" applyAlignment="1" applyProtection="1">
      <alignment horizontal="center" vertical="center" wrapText="1"/>
    </xf>
    <xf numFmtId="166" fontId="57" fillId="20" borderId="53" xfId="5" applyNumberFormat="1" applyFont="1" applyFill="1" applyBorder="1" applyAlignment="1" applyProtection="1">
      <alignment horizontal="center" vertical="center" wrapText="1"/>
    </xf>
    <xf numFmtId="166" fontId="14" fillId="5" borderId="100" xfId="5" applyNumberFormat="1" applyFont="1" applyFill="1" applyBorder="1" applyAlignment="1" applyProtection="1">
      <alignment horizontal="center" vertical="center" wrapText="1"/>
    </xf>
    <xf numFmtId="166" fontId="57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6" fontId="0" fillId="0" borderId="24" xfId="5" applyNumberFormat="1" applyFont="1" applyBorder="1" applyAlignment="1" applyProtection="1">
      <alignment horizontal="center" vertical="center" wrapText="1"/>
    </xf>
    <xf numFmtId="166" fontId="0" fillId="0" borderId="0" xfId="5" applyNumberFormat="1" applyFont="1" applyBorder="1" applyAlignment="1" applyProtection="1">
      <alignment horizontal="center" vertical="center" wrapText="1"/>
    </xf>
    <xf numFmtId="166" fontId="0" fillId="0" borderId="6" xfId="5" applyNumberFormat="1" applyFont="1" applyBorder="1" applyAlignment="1" applyProtection="1">
      <alignment horizontal="center" vertical="center" wrapText="1"/>
    </xf>
    <xf numFmtId="166" fontId="14" fillId="5" borderId="41" xfId="5" applyNumberFormat="1" applyFont="1" applyFill="1" applyBorder="1" applyAlignment="1" applyProtection="1">
      <alignment horizontal="center" vertical="center" wrapText="1"/>
    </xf>
    <xf numFmtId="166" fontId="14" fillId="5" borderId="17" xfId="5" applyNumberFormat="1" applyFont="1" applyFill="1" applyBorder="1" applyAlignment="1" applyProtection="1">
      <alignment horizontal="center" vertical="center" wrapText="1"/>
    </xf>
    <xf numFmtId="166" fontId="57" fillId="20" borderId="17" xfId="5" applyNumberFormat="1" applyFont="1" applyFill="1" applyBorder="1" applyAlignment="1" applyProtection="1">
      <alignment horizontal="center" vertical="center" wrapText="1"/>
    </xf>
    <xf numFmtId="166" fontId="14" fillId="5" borderId="127" xfId="5" applyNumberFormat="1" applyFont="1" applyFill="1" applyBorder="1" applyAlignment="1" applyProtection="1">
      <alignment horizontal="center" vertical="center" wrapText="1"/>
    </xf>
    <xf numFmtId="166" fontId="57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6" fontId="0" fillId="0" borderId="15" xfId="5" applyNumberFormat="1" applyFont="1" applyBorder="1" applyAlignment="1" applyProtection="1">
      <alignment horizontal="center" vertical="center" wrapText="1"/>
    </xf>
    <xf numFmtId="166" fontId="0" fillId="0" borderId="26" xfId="5" applyNumberFormat="1" applyFont="1" applyBorder="1" applyAlignment="1" applyProtection="1">
      <alignment horizontal="center" vertical="center" wrapText="1"/>
    </xf>
    <xf numFmtId="166" fontId="0" fillId="0" borderId="5" xfId="5" applyNumberFormat="1" applyFont="1" applyBorder="1" applyAlignment="1" applyProtection="1">
      <alignment horizontal="center" vertical="center" wrapText="1"/>
    </xf>
    <xf numFmtId="166" fontId="14" fillId="5" borderId="85" xfId="5" applyNumberFormat="1" applyFont="1" applyFill="1" applyBorder="1" applyAlignment="1" applyProtection="1">
      <alignment horizontal="center" vertical="center" wrapText="1"/>
    </xf>
    <xf numFmtId="166" fontId="14" fillId="5" borderId="56" xfId="5" applyNumberFormat="1" applyFont="1" applyFill="1" applyBorder="1" applyAlignment="1" applyProtection="1">
      <alignment horizontal="center" vertical="center" wrapText="1"/>
    </xf>
    <xf numFmtId="166" fontId="57" fillId="20" borderId="56" xfId="5" applyNumberFormat="1" applyFont="1" applyFill="1" applyBorder="1" applyAlignment="1" applyProtection="1">
      <alignment horizontal="center" vertical="center" wrapText="1"/>
    </xf>
    <xf numFmtId="166" fontId="14" fillId="5" borderId="128" xfId="5" applyNumberFormat="1" applyFont="1" applyFill="1" applyBorder="1" applyAlignment="1" applyProtection="1">
      <alignment horizontal="center" vertical="center" wrapText="1"/>
    </xf>
    <xf numFmtId="166" fontId="57" fillId="20" borderId="99" xfId="5" applyNumberFormat="1" applyFont="1" applyFill="1" applyBorder="1" applyAlignment="1" applyProtection="1">
      <alignment horizontal="center" vertical="center" wrapText="1"/>
    </xf>
    <xf numFmtId="167" fontId="0" fillId="0" borderId="14" xfId="0" applyNumberFormat="1" applyBorder="1" applyAlignment="1" applyProtection="1">
      <alignment horizontal="center" vertical="center" wrapText="1"/>
    </xf>
    <xf numFmtId="167" fontId="0" fillId="0" borderId="23" xfId="0" applyNumberFormat="1" applyBorder="1" applyAlignment="1" applyProtection="1">
      <alignment horizontal="center" vertical="center" wrapText="1"/>
    </xf>
    <xf numFmtId="167" fontId="0" fillId="0" borderId="13" xfId="0" applyNumberFormat="1" applyBorder="1" applyAlignment="1" applyProtection="1">
      <alignment horizontal="center" vertical="center" wrapText="1"/>
    </xf>
    <xf numFmtId="167" fontId="14" fillId="5" borderId="84" xfId="3" applyNumberFormat="1" applyFont="1" applyBorder="1" applyAlignment="1" applyProtection="1">
      <alignment horizontal="center" vertical="center" wrapText="1"/>
    </xf>
    <xf numFmtId="167" fontId="14" fillId="5" borderId="53" xfId="3" applyNumberFormat="1" applyFont="1" applyBorder="1" applyAlignment="1" applyProtection="1">
      <alignment horizontal="center" vertical="center" wrapText="1"/>
    </xf>
    <xf numFmtId="167" fontId="57" fillId="20" borderId="53" xfId="3" applyNumberFormat="1" applyFont="1" applyFill="1" applyBorder="1" applyAlignment="1" applyProtection="1">
      <alignment horizontal="center" vertical="center" wrapText="1"/>
    </xf>
    <xf numFmtId="167" fontId="14" fillId="5" borderId="129" xfId="3" applyNumberFormat="1" applyFont="1" applyBorder="1" applyAlignment="1" applyProtection="1">
      <alignment horizontal="center" vertical="center" wrapText="1"/>
    </xf>
    <xf numFmtId="167" fontId="57" fillId="20" borderId="97" xfId="3" applyNumberFormat="1" applyFont="1" applyFill="1" applyBorder="1" applyAlignment="1" applyProtection="1">
      <alignment horizontal="center" vertical="center" wrapText="1"/>
    </xf>
    <xf numFmtId="167" fontId="0" fillId="0" borderId="24" xfId="0" applyNumberFormat="1" applyBorder="1" applyAlignment="1" applyProtection="1">
      <alignment horizontal="center" vertical="center" wrapText="1"/>
    </xf>
    <xf numFmtId="167" fontId="0" fillId="0" borderId="0" xfId="0" applyNumberFormat="1" applyBorder="1" applyAlignment="1" applyProtection="1">
      <alignment horizontal="center" vertical="center" wrapText="1"/>
    </xf>
    <xf numFmtId="167" fontId="0" fillId="0" borderId="6" xfId="0" applyNumberFormat="1" applyBorder="1" applyAlignment="1" applyProtection="1">
      <alignment horizontal="center" vertical="center" wrapText="1"/>
    </xf>
    <xf numFmtId="167" fontId="14" fillId="5" borderId="41" xfId="3" applyNumberFormat="1" applyFont="1" applyBorder="1" applyAlignment="1" applyProtection="1">
      <alignment horizontal="center" vertical="center" wrapText="1"/>
    </xf>
    <xf numFmtId="167" fontId="14" fillId="5" borderId="17" xfId="3" applyNumberFormat="1" applyFont="1" applyBorder="1" applyAlignment="1" applyProtection="1">
      <alignment horizontal="center" vertical="center" wrapText="1"/>
    </xf>
    <xf numFmtId="167" fontId="57" fillId="20" borderId="17" xfId="3" applyNumberFormat="1" applyFont="1" applyFill="1" applyBorder="1" applyAlignment="1" applyProtection="1">
      <alignment horizontal="center" vertical="center" wrapText="1"/>
    </xf>
    <xf numFmtId="167" fontId="14" fillId="5" borderId="127" xfId="3" applyNumberFormat="1" applyFont="1" applyBorder="1" applyAlignment="1" applyProtection="1">
      <alignment horizontal="center" vertical="center" wrapText="1"/>
    </xf>
    <xf numFmtId="167" fontId="57" fillId="20" borderId="98" xfId="3" applyNumberFormat="1" applyFont="1" applyFill="1" applyBorder="1" applyAlignment="1" applyProtection="1">
      <alignment horizontal="center" vertical="center" wrapText="1"/>
    </xf>
    <xf numFmtId="167" fontId="0" fillId="0" borderId="15" xfId="0" applyNumberFormat="1" applyBorder="1" applyAlignment="1" applyProtection="1">
      <alignment horizontal="center" vertical="center" wrapText="1"/>
    </xf>
    <xf numFmtId="167" fontId="0" fillId="0" borderId="26" xfId="0" applyNumberFormat="1" applyBorder="1" applyAlignment="1" applyProtection="1">
      <alignment horizontal="center" vertical="center" wrapText="1"/>
    </xf>
    <xf numFmtId="167" fontId="0" fillId="0" borderId="5" xfId="0" applyNumberFormat="1" applyBorder="1" applyAlignment="1" applyProtection="1">
      <alignment horizontal="center" vertical="center" wrapText="1"/>
    </xf>
    <xf numFmtId="167" fontId="14" fillId="5" borderId="85" xfId="3" applyNumberFormat="1" applyFont="1" applyBorder="1" applyAlignment="1" applyProtection="1">
      <alignment horizontal="center" vertical="center" wrapText="1"/>
    </xf>
    <xf numFmtId="167" fontId="14" fillId="5" borderId="56" xfId="3" applyNumberFormat="1" applyFont="1" applyBorder="1" applyAlignment="1" applyProtection="1">
      <alignment horizontal="center" vertical="center" wrapText="1"/>
    </xf>
    <xf numFmtId="167" fontId="57" fillId="20" borderId="56" xfId="3" applyNumberFormat="1" applyFont="1" applyFill="1" applyBorder="1" applyAlignment="1" applyProtection="1">
      <alignment horizontal="center" vertical="center" wrapText="1"/>
    </xf>
    <xf numFmtId="167" fontId="14" fillId="5" borderId="128" xfId="3" applyNumberFormat="1" applyFont="1" applyBorder="1" applyAlignment="1" applyProtection="1">
      <alignment horizontal="center" vertical="center" wrapText="1"/>
    </xf>
    <xf numFmtId="167" fontId="57" fillId="20" borderId="99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5" fillId="16" borderId="29" xfId="0" applyFont="1" applyFill="1" applyBorder="1" applyAlignment="1" applyProtection="1">
      <alignment horizontal="left" vertical="top" wrapText="1"/>
    </xf>
    <xf numFmtId="0" fontId="14" fillId="16" borderId="141" xfId="3" applyFont="1" applyFill="1" applyBorder="1" applyAlignment="1" applyProtection="1">
      <alignment horizontal="right" vertical="top" wrapText="1"/>
    </xf>
    <xf numFmtId="0" fontId="57" fillId="16" borderId="141" xfId="3" applyFont="1" applyFill="1" applyBorder="1" applyAlignment="1" applyProtection="1">
      <alignment horizontal="right" vertical="top" wrapText="1"/>
    </xf>
    <xf numFmtId="0" fontId="14" fillId="16" borderId="142" xfId="3" applyFont="1" applyFill="1" applyBorder="1" applyAlignment="1" applyProtection="1">
      <alignment horizontal="right" vertical="top" wrapText="1"/>
    </xf>
    <xf numFmtId="0" fontId="57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6" fontId="58" fillId="20" borderId="24" xfId="5" applyNumberFormat="1" applyFont="1" applyFill="1" applyBorder="1" applyAlignment="1" applyProtection="1">
      <alignment horizontal="center" vertical="center" wrapText="1"/>
    </xf>
    <xf numFmtId="166" fontId="58" fillId="20" borderId="0" xfId="5" applyNumberFormat="1" applyFont="1" applyFill="1" applyBorder="1" applyAlignment="1" applyProtection="1">
      <alignment horizontal="center" vertical="center" wrapText="1"/>
    </xf>
    <xf numFmtId="166" fontId="58" fillId="20" borderId="6" xfId="5" applyNumberFormat="1" applyFont="1" applyFill="1" applyBorder="1" applyAlignment="1" applyProtection="1">
      <alignment horizontal="center" vertical="center" wrapText="1"/>
    </xf>
    <xf numFmtId="166" fontId="57" fillId="23" borderId="137" xfId="5" applyNumberFormat="1" applyFont="1" applyFill="1" applyBorder="1" applyAlignment="1" applyProtection="1">
      <alignment horizontal="center" vertical="center" wrapText="1"/>
    </xf>
    <xf numFmtId="166" fontId="57" fillId="23" borderId="138" xfId="5" applyNumberFormat="1" applyFont="1" applyFill="1" applyBorder="1" applyAlignment="1" applyProtection="1">
      <alignment horizontal="center" vertical="center" wrapText="1"/>
    </xf>
    <xf numFmtId="166" fontId="57" fillId="20" borderId="138" xfId="5" applyNumberFormat="1" applyFont="1" applyFill="1" applyBorder="1" applyAlignment="1" applyProtection="1">
      <alignment horizontal="center" vertical="center" wrapText="1"/>
    </xf>
    <xf numFmtId="166" fontId="57" fillId="23" borderId="139" xfId="5" applyNumberFormat="1" applyFont="1" applyFill="1" applyBorder="1" applyAlignment="1" applyProtection="1">
      <alignment horizontal="center" vertical="center" wrapText="1"/>
    </xf>
    <xf numFmtId="166" fontId="57" fillId="20" borderId="140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6" fontId="57" fillId="23" borderId="41" xfId="5" applyNumberFormat="1" applyFont="1" applyFill="1" applyBorder="1" applyAlignment="1" applyProtection="1">
      <alignment horizontal="center" vertical="center" wrapText="1"/>
    </xf>
    <xf numFmtId="166" fontId="57" fillId="23" borderId="17" xfId="5" applyNumberFormat="1" applyFont="1" applyFill="1" applyBorder="1" applyAlignment="1" applyProtection="1">
      <alignment horizontal="center" vertical="center" wrapText="1"/>
    </xf>
    <xf numFmtId="166" fontId="57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6" fontId="58" fillId="20" borderId="15" xfId="5" applyNumberFormat="1" applyFont="1" applyFill="1" applyBorder="1" applyAlignment="1" applyProtection="1">
      <alignment horizontal="center" vertical="center" wrapText="1"/>
    </xf>
    <xf numFmtId="166" fontId="58" fillId="20" borderId="26" xfId="5" applyNumberFormat="1" applyFont="1" applyFill="1" applyBorder="1" applyAlignment="1" applyProtection="1">
      <alignment horizontal="center" vertical="center" wrapText="1"/>
    </xf>
    <xf numFmtId="166" fontId="58" fillId="20" borderId="5" xfId="5" applyNumberFormat="1" applyFont="1" applyFill="1" applyBorder="1" applyAlignment="1" applyProtection="1">
      <alignment horizontal="center" vertical="center" wrapText="1"/>
    </xf>
    <xf numFmtId="166" fontId="57" fillId="23" borderId="85" xfId="5" applyNumberFormat="1" applyFont="1" applyFill="1" applyBorder="1" applyAlignment="1" applyProtection="1">
      <alignment horizontal="center" vertical="center" wrapText="1"/>
    </xf>
    <xf numFmtId="166" fontId="57" fillId="23" borderId="56" xfId="5" applyNumberFormat="1" applyFont="1" applyFill="1" applyBorder="1" applyAlignment="1" applyProtection="1">
      <alignment horizontal="center" vertical="center" wrapText="1"/>
    </xf>
    <xf numFmtId="166" fontId="57" fillId="23" borderId="128" xfId="5" applyNumberFormat="1" applyFont="1" applyFill="1" applyBorder="1" applyAlignment="1" applyProtection="1">
      <alignment horizontal="center" vertical="center" wrapText="1"/>
    </xf>
    <xf numFmtId="166" fontId="57" fillId="23" borderId="84" xfId="5" applyNumberFormat="1" applyFont="1" applyFill="1" applyBorder="1" applyAlignment="1" applyProtection="1">
      <alignment horizontal="center" vertical="center" wrapText="1"/>
    </xf>
    <xf numFmtId="166" fontId="57" fillId="23" borderId="53" xfId="5" applyNumberFormat="1" applyFont="1" applyFill="1" applyBorder="1" applyAlignment="1" applyProtection="1">
      <alignment horizontal="center" vertical="center" wrapText="1"/>
    </xf>
    <xf numFmtId="166" fontId="57" fillId="23" borderId="129" xfId="5" applyNumberFormat="1" applyFont="1" applyFill="1" applyBorder="1" applyAlignment="1" applyProtection="1">
      <alignment horizontal="center" vertical="center" wrapText="1"/>
    </xf>
    <xf numFmtId="166" fontId="57" fillId="20" borderId="97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7" fontId="58" fillId="20" borderId="24" xfId="5" applyNumberFormat="1" applyFont="1" applyFill="1" applyBorder="1" applyAlignment="1" applyProtection="1">
      <alignment horizontal="center" vertical="center" wrapText="1"/>
    </xf>
    <xf numFmtId="167" fontId="58" fillId="20" borderId="0" xfId="5" applyNumberFormat="1" applyFont="1" applyFill="1" applyBorder="1" applyAlignment="1" applyProtection="1">
      <alignment horizontal="center" vertical="center" wrapText="1"/>
    </xf>
    <xf numFmtId="167" fontId="58" fillId="20" borderId="6" xfId="5" applyNumberFormat="1" applyFont="1" applyFill="1" applyBorder="1" applyAlignment="1" applyProtection="1">
      <alignment horizontal="center" vertical="center" wrapText="1"/>
    </xf>
    <xf numFmtId="167" fontId="57" fillId="23" borderId="84" xfId="5" applyNumberFormat="1" applyFont="1" applyFill="1" applyBorder="1" applyAlignment="1" applyProtection="1">
      <alignment horizontal="center" vertical="center" wrapText="1"/>
    </xf>
    <xf numFmtId="167" fontId="57" fillId="23" borderId="53" xfId="5" applyNumberFormat="1" applyFont="1" applyFill="1" applyBorder="1" applyAlignment="1" applyProtection="1">
      <alignment horizontal="center" vertical="center" wrapText="1"/>
    </xf>
    <xf numFmtId="167" fontId="57" fillId="20" borderId="53" xfId="5" applyNumberFormat="1" applyFont="1" applyFill="1" applyBorder="1" applyAlignment="1" applyProtection="1">
      <alignment horizontal="center" vertical="center" wrapText="1"/>
    </xf>
    <xf numFmtId="167" fontId="57" fillId="23" borderId="129" xfId="5" applyNumberFormat="1" applyFont="1" applyFill="1" applyBorder="1" applyAlignment="1" applyProtection="1">
      <alignment horizontal="center" vertical="center" wrapText="1"/>
    </xf>
    <xf numFmtId="167" fontId="57" fillId="20" borderId="97" xfId="5" applyNumberFormat="1" applyFont="1" applyFill="1" applyBorder="1" applyAlignment="1" applyProtection="1">
      <alignment horizontal="center" vertical="center" wrapText="1"/>
    </xf>
    <xf numFmtId="167" fontId="57" fillId="23" borderId="41" xfId="5" applyNumberFormat="1" applyFont="1" applyFill="1" applyBorder="1" applyAlignment="1" applyProtection="1">
      <alignment horizontal="center" vertical="center" wrapText="1"/>
    </xf>
    <xf numFmtId="167" fontId="57" fillId="23" borderId="17" xfId="5" applyNumberFormat="1" applyFont="1" applyFill="1" applyBorder="1" applyAlignment="1" applyProtection="1">
      <alignment horizontal="center" vertical="center" wrapText="1"/>
    </xf>
    <xf numFmtId="167" fontId="57" fillId="20" borderId="17" xfId="5" applyNumberFormat="1" applyFont="1" applyFill="1" applyBorder="1" applyAlignment="1" applyProtection="1">
      <alignment horizontal="center" vertical="center" wrapText="1"/>
    </xf>
    <xf numFmtId="167" fontId="57" fillId="23" borderId="127" xfId="5" applyNumberFormat="1" applyFont="1" applyFill="1" applyBorder="1" applyAlignment="1" applyProtection="1">
      <alignment horizontal="center" vertical="center" wrapText="1"/>
    </xf>
    <xf numFmtId="167" fontId="57" fillId="20" borderId="98" xfId="5" applyNumberFormat="1" applyFont="1" applyFill="1" applyBorder="1" applyAlignment="1" applyProtection="1">
      <alignment horizontal="center" vertical="center" wrapText="1"/>
    </xf>
    <xf numFmtId="167" fontId="58" fillId="20" borderId="15" xfId="5" applyNumberFormat="1" applyFont="1" applyFill="1" applyBorder="1" applyAlignment="1" applyProtection="1">
      <alignment horizontal="center" vertical="center" wrapText="1"/>
    </xf>
    <xf numFmtId="167" fontId="58" fillId="20" borderId="26" xfId="5" applyNumberFormat="1" applyFont="1" applyFill="1" applyBorder="1" applyAlignment="1" applyProtection="1">
      <alignment horizontal="center" vertical="center" wrapText="1"/>
    </xf>
    <xf numFmtId="167" fontId="58" fillId="20" borderId="5" xfId="5" applyNumberFormat="1" applyFont="1" applyFill="1" applyBorder="1" applyAlignment="1" applyProtection="1">
      <alignment horizontal="center" vertical="center" wrapText="1"/>
    </xf>
    <xf numFmtId="167" fontId="57" fillId="23" borderId="85" xfId="5" applyNumberFormat="1" applyFont="1" applyFill="1" applyBorder="1" applyAlignment="1" applyProtection="1">
      <alignment horizontal="center" vertical="center" wrapText="1"/>
    </xf>
    <xf numFmtId="167" fontId="57" fillId="23" borderId="56" xfId="5" applyNumberFormat="1" applyFont="1" applyFill="1" applyBorder="1" applyAlignment="1" applyProtection="1">
      <alignment horizontal="center" vertical="center" wrapText="1"/>
    </xf>
    <xf numFmtId="167" fontId="57" fillId="20" borderId="56" xfId="5" applyNumberFormat="1" applyFont="1" applyFill="1" applyBorder="1" applyAlignment="1" applyProtection="1">
      <alignment horizontal="center" vertical="center" wrapText="1"/>
    </xf>
    <xf numFmtId="167" fontId="57" fillId="23" borderId="128" xfId="5" applyNumberFormat="1" applyFont="1" applyFill="1" applyBorder="1" applyAlignment="1" applyProtection="1">
      <alignment horizontal="center" vertical="center" wrapText="1"/>
    </xf>
    <xf numFmtId="167" fontId="57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0" fontId="35" fillId="17" borderId="165" xfId="0" applyFont="1" applyFill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131" xfId="0" applyFont="1" applyFill="1" applyBorder="1" applyAlignment="1">
      <alignment horizontal="center" vertical="center"/>
    </xf>
    <xf numFmtId="0" fontId="35" fillId="0" borderId="130" xfId="0" applyFont="1" applyFill="1" applyBorder="1" applyAlignment="1">
      <alignment horizontal="center" vertical="center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9" xfId="1" applyNumberFormat="1" applyFont="1" applyFill="1" applyBorder="1" applyAlignment="1">
      <alignment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4" fontId="8" fillId="19" borderId="147" xfId="5" applyNumberFormat="1" applyFont="1" applyFill="1" applyBorder="1" applyProtection="1"/>
    <xf numFmtId="0" fontId="56" fillId="0" borderId="0" xfId="0" applyFont="1" applyFill="1" applyProtection="1"/>
    <xf numFmtId="0" fontId="8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44" fontId="39" fillId="17" borderId="166" xfId="7" applyFont="1" applyFill="1" applyBorder="1" applyAlignment="1">
      <alignment horizontal="left" vertical="center"/>
    </xf>
    <xf numFmtId="0" fontId="39" fillId="17" borderId="167" xfId="0" applyFont="1" applyFill="1" applyBorder="1" applyAlignment="1">
      <alignment horizontal="left" vertical="center"/>
    </xf>
    <xf numFmtId="44" fontId="39" fillId="17" borderId="169" xfId="7" applyFont="1" applyFill="1" applyBorder="1" applyAlignment="1">
      <alignment horizontal="left" vertical="center"/>
    </xf>
    <xf numFmtId="0" fontId="36" fillId="12" borderId="69" xfId="0" applyFont="1" applyFill="1" applyBorder="1" applyAlignment="1">
      <alignment horizontal="left" vertical="center"/>
    </xf>
    <xf numFmtId="0" fontId="39" fillId="17" borderId="167" xfId="0" applyFont="1" applyFill="1" applyBorder="1" applyAlignment="1">
      <alignment horizontal="center" vertical="center"/>
    </xf>
    <xf numFmtId="0" fontId="39" fillId="17" borderId="135" xfId="0" applyFont="1" applyFill="1" applyBorder="1" applyAlignment="1">
      <alignment horizontal="center" vertical="center"/>
    </xf>
    <xf numFmtId="44" fontId="57" fillId="20" borderId="168" xfId="7" applyFont="1" applyFill="1" applyBorder="1" applyAlignment="1" applyProtection="1">
      <alignment horizontal="center" vertical="center" wrapText="1"/>
    </xf>
    <xf numFmtId="0" fontId="36" fillId="12" borderId="69" xfId="0" applyFont="1" applyFill="1" applyBorder="1" applyAlignment="1">
      <alignment horizontal="center" vertical="center"/>
    </xf>
    <xf numFmtId="44" fontId="39" fillId="17" borderId="167" xfId="7" applyFont="1" applyFill="1" applyBorder="1" applyAlignment="1">
      <alignment horizontal="center" vertical="center"/>
    </xf>
    <xf numFmtId="44" fontId="39" fillId="17" borderId="135" xfId="7" applyFont="1" applyFill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164" fontId="63" fillId="19" borderId="22" xfId="5" applyNumberFormat="1" applyFont="1" applyFill="1" applyBorder="1" applyProtection="1"/>
    <xf numFmtId="164" fontId="63" fillId="19" borderId="125" xfId="5" applyNumberFormat="1" applyFont="1" applyFill="1" applyBorder="1" applyProtection="1"/>
    <xf numFmtId="164" fontId="63" fillId="19" borderId="147" xfId="5" applyNumberFormat="1" applyFont="1" applyFill="1" applyBorder="1" applyProtection="1"/>
    <xf numFmtId="164" fontId="58" fillId="22" borderId="22" xfId="5" applyNumberFormat="1" applyFont="1" applyFill="1" applyBorder="1" applyProtection="1"/>
    <xf numFmtId="164" fontId="58" fillId="22" borderId="125" xfId="5" applyNumberFormat="1" applyFont="1" applyFill="1" applyBorder="1" applyProtection="1"/>
    <xf numFmtId="164" fontId="58" fillId="22" borderId="147" xfId="5" applyNumberFormat="1" applyFont="1" applyFill="1" applyBorder="1" applyProtection="1"/>
    <xf numFmtId="164" fontId="64" fillId="21" borderId="22" xfId="5" applyNumberFormat="1" applyFont="1" applyFill="1" applyBorder="1" applyProtection="1"/>
    <xf numFmtId="164" fontId="64" fillId="21" borderId="125" xfId="5" applyNumberFormat="1" applyFont="1" applyFill="1" applyBorder="1" applyProtection="1"/>
    <xf numFmtId="164" fontId="64" fillId="21" borderId="147" xfId="5" applyNumberFormat="1" applyFont="1" applyFill="1" applyBorder="1" applyProtection="1"/>
    <xf numFmtId="164" fontId="64" fillId="21" borderId="22" xfId="5" applyNumberFormat="1" applyFont="1" applyFill="1" applyBorder="1" applyAlignment="1" applyProtection="1">
      <alignment horizontal="center"/>
    </xf>
    <xf numFmtId="164" fontId="64" fillId="21" borderId="125" xfId="5" applyNumberFormat="1" applyFont="1" applyFill="1" applyBorder="1" applyAlignment="1" applyProtection="1">
      <alignment horizontal="center"/>
    </xf>
    <xf numFmtId="164" fontId="64" fillId="21" borderId="147" xfId="5" applyNumberFormat="1" applyFont="1" applyFill="1" applyBorder="1" applyAlignment="1" applyProtection="1">
      <alignment horizontal="center"/>
    </xf>
    <xf numFmtId="164" fontId="64" fillId="21" borderId="86" xfId="5" applyNumberFormat="1" applyFont="1" applyFill="1" applyBorder="1" applyProtection="1"/>
    <xf numFmtId="164" fontId="64" fillId="21" borderId="122" xfId="5" applyNumberFormat="1" applyFont="1" applyFill="1" applyBorder="1" applyProtection="1"/>
    <xf numFmtId="164" fontId="64" fillId="21" borderId="155" xfId="5" applyNumberFormat="1" applyFont="1" applyFill="1" applyBorder="1" applyProtection="1"/>
    <xf numFmtId="164" fontId="64" fillId="21" borderId="148" xfId="5" applyNumberFormat="1" applyFont="1" applyFill="1" applyBorder="1" applyProtection="1"/>
    <xf numFmtId="0" fontId="68" fillId="13" borderId="6" xfId="0" applyFont="1" applyFill="1" applyBorder="1" applyAlignment="1">
      <alignment horizontal="center" vertical="center"/>
    </xf>
    <xf numFmtId="3" fontId="69" fillId="14" borderId="28" xfId="0" applyNumberFormat="1" applyFont="1" applyFill="1" applyBorder="1" applyAlignment="1">
      <alignment horizontal="center" vertical="center"/>
    </xf>
    <xf numFmtId="3" fontId="69" fillId="14" borderId="30" xfId="0" applyNumberFormat="1" applyFont="1" applyFill="1" applyBorder="1" applyAlignment="1">
      <alignment horizontal="center" vertical="center"/>
    </xf>
    <xf numFmtId="0" fontId="68" fillId="22" borderId="24" xfId="0" applyFont="1" applyFill="1" applyBorder="1" applyAlignment="1">
      <alignment horizontal="center" vertical="center"/>
    </xf>
    <xf numFmtId="0" fontId="68" fillId="22" borderId="6" xfId="0" applyFont="1" applyFill="1" applyBorder="1" applyAlignment="1">
      <alignment horizontal="center" vertical="center"/>
    </xf>
    <xf numFmtId="3" fontId="68" fillId="22" borderId="24" xfId="0" applyNumberFormat="1" applyFont="1" applyFill="1" applyBorder="1" applyAlignment="1">
      <alignment horizontal="center" vertical="center"/>
    </xf>
    <xf numFmtId="3" fontId="68" fillId="22" borderId="6" xfId="0" applyNumberFormat="1" applyFont="1" applyFill="1" applyBorder="1" applyAlignment="1">
      <alignment horizontal="center" vertical="center"/>
    </xf>
    <xf numFmtId="0" fontId="68" fillId="22" borderId="131" xfId="0" applyFont="1" applyFill="1" applyBorder="1" applyAlignment="1">
      <alignment horizontal="center" vertical="center"/>
    </xf>
    <xf numFmtId="0" fontId="68" fillId="22" borderId="130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1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5" fillId="17" borderId="91" xfId="3" applyFont="1" applyFill="1" applyBorder="1" applyAlignment="1">
      <alignment horizontal="center"/>
    </xf>
    <xf numFmtId="0" fontId="35" fillId="17" borderId="136" xfId="3" applyFont="1" applyFill="1" applyBorder="1" applyAlignment="1">
      <alignment horizontal="center"/>
    </xf>
    <xf numFmtId="0" fontId="35" fillId="17" borderId="92" xfId="3" applyFont="1" applyFill="1" applyBorder="1" applyAlignment="1">
      <alignment horizontal="center"/>
    </xf>
    <xf numFmtId="0" fontId="65" fillId="22" borderId="65" xfId="0" applyFont="1" applyFill="1" applyBorder="1" applyAlignment="1">
      <alignment horizontal="center" vertical="center"/>
    </xf>
    <xf numFmtId="0" fontId="65" fillId="22" borderId="64" xfId="0" applyFont="1" applyFill="1" applyBorder="1" applyAlignment="1">
      <alignment horizontal="center" vertical="center"/>
    </xf>
    <xf numFmtId="0" fontId="58" fillId="22" borderId="119" xfId="0" applyFont="1" applyFill="1" applyBorder="1"/>
    <xf numFmtId="0" fontId="58" fillId="22" borderId="60" xfId="0" applyFont="1" applyFill="1" applyBorder="1"/>
    <xf numFmtId="0" fontId="58" fillId="22" borderId="22" xfId="0" applyFont="1" applyFill="1" applyBorder="1"/>
    <xf numFmtId="0" fontId="58" fillId="22" borderId="113" xfId="0" applyFont="1" applyFill="1" applyBorder="1"/>
    <xf numFmtId="0" fontId="58" fillId="22" borderId="86" xfId="0" applyFont="1" applyFill="1" applyBorder="1"/>
    <xf numFmtId="0" fontId="58" fillId="22" borderId="116" xfId="0" applyFont="1" applyFill="1" applyBorder="1"/>
    <xf numFmtId="0" fontId="58" fillId="22" borderId="115" xfId="0" applyFont="1" applyFill="1" applyBorder="1"/>
    <xf numFmtId="4" fontId="67" fillId="24" borderId="51" xfId="2" applyNumberFormat="1" applyFont="1" applyFill="1" applyBorder="1" applyAlignment="1">
      <alignment horizontal="right" vertical="top" wrapText="1"/>
    </xf>
    <xf numFmtId="4" fontId="67" fillId="24" borderId="42" xfId="2" applyNumberFormat="1" applyFont="1" applyFill="1" applyBorder="1" applyAlignment="1">
      <alignment horizontal="right" vertical="top" wrapText="1"/>
    </xf>
    <xf numFmtId="4" fontId="67" fillId="24" borderId="52" xfId="2" applyNumberFormat="1" applyFont="1" applyFill="1" applyBorder="1" applyAlignment="1">
      <alignment horizontal="right" vertical="top" wrapText="1"/>
    </xf>
    <xf numFmtId="4" fontId="67" fillId="24" borderId="106" xfId="2" applyNumberFormat="1" applyFont="1" applyFill="1" applyBorder="1" applyAlignment="1">
      <alignment horizontal="right" vertical="top" wrapText="1"/>
    </xf>
    <xf numFmtId="4" fontId="67" fillId="24" borderId="95" xfId="2" applyNumberFormat="1" applyFont="1" applyFill="1" applyBorder="1" applyAlignment="1">
      <alignment horizontal="right" vertical="top" wrapText="1"/>
    </xf>
    <xf numFmtId="4" fontId="67" fillId="24" borderId="109" xfId="2" applyNumberFormat="1" applyFont="1" applyFill="1" applyBorder="1" applyAlignment="1">
      <alignment horizontal="right" vertical="top" wrapText="1"/>
    </xf>
    <xf numFmtId="4" fontId="67" fillId="24" borderId="107" xfId="2" applyNumberFormat="1" applyFont="1" applyFill="1" applyBorder="1" applyAlignment="1">
      <alignment horizontal="right" vertical="top" wrapText="1"/>
    </xf>
    <xf numFmtId="4" fontId="67" fillId="24" borderId="46" xfId="2" applyNumberFormat="1" applyFont="1" applyFill="1" applyBorder="1" applyAlignment="1">
      <alignment horizontal="right" vertical="top" wrapText="1"/>
    </xf>
    <xf numFmtId="4" fontId="67" fillId="24" borderId="45" xfId="2" applyNumberFormat="1" applyFont="1" applyFill="1" applyBorder="1" applyAlignment="1">
      <alignment horizontal="right" vertical="top" wrapText="1"/>
    </xf>
    <xf numFmtId="4" fontId="66" fillId="24" borderId="26" xfId="1" applyNumberFormat="1" applyFont="1" applyFill="1" applyBorder="1" applyAlignment="1">
      <alignment horizontal="right" vertical="top" wrapText="1"/>
    </xf>
    <xf numFmtId="4" fontId="67" fillId="24" borderId="44" xfId="2" applyNumberFormat="1" applyFont="1" applyFill="1" applyBorder="1" applyAlignment="1">
      <alignment horizontal="right" vertical="top" wrapText="1"/>
    </xf>
    <xf numFmtId="4" fontId="67" fillId="24" borderId="108" xfId="2" applyNumberFormat="1" applyFont="1" applyFill="1" applyBorder="1" applyAlignment="1">
      <alignment horizontal="right" vertical="top" wrapText="1"/>
    </xf>
    <xf numFmtId="4" fontId="67" fillId="24" borderId="43" xfId="2" applyNumberFormat="1" applyFont="1" applyFill="1" applyBorder="1" applyAlignment="1">
      <alignment horizontal="right" vertical="top" wrapText="1"/>
    </xf>
    <xf numFmtId="0" fontId="67" fillId="24" borderId="70" xfId="0" applyFont="1" applyFill="1" applyBorder="1" applyAlignment="1">
      <alignment horizontal="left" vertical="top" wrapText="1"/>
    </xf>
    <xf numFmtId="164" fontId="67" fillId="24" borderId="110" xfId="5" applyNumberFormat="1" applyFont="1" applyFill="1" applyBorder="1" applyAlignment="1">
      <alignment horizontal="right" vertical="top" wrapText="1"/>
    </xf>
    <xf numFmtId="164" fontId="67" fillId="24" borderId="111" xfId="5" applyNumberFormat="1" applyFont="1" applyFill="1" applyBorder="1" applyAlignment="1">
      <alignment horizontal="right" vertical="top" wrapText="1"/>
    </xf>
    <xf numFmtId="164" fontId="67" fillId="24" borderId="112" xfId="5" applyNumberFormat="1" applyFont="1" applyFill="1" applyBorder="1" applyAlignment="1">
      <alignment horizontal="right" vertical="top" wrapText="1"/>
    </xf>
    <xf numFmtId="164" fontId="67" fillId="24" borderId="47" xfId="5" applyNumberFormat="1" applyFont="1" applyFill="1" applyBorder="1" applyAlignment="1">
      <alignment horizontal="right" vertical="top" wrapText="1"/>
    </xf>
    <xf numFmtId="164" fontId="67" fillId="24" borderId="48" xfId="5" applyNumberFormat="1" applyFont="1" applyFill="1" applyBorder="1" applyAlignment="1">
      <alignment horizontal="right" vertical="top" wrapText="1"/>
    </xf>
    <xf numFmtId="164" fontId="67" fillId="24" borderId="49" xfId="5" applyNumberFormat="1" applyFont="1" applyFill="1" applyBorder="1" applyAlignment="1">
      <alignment horizontal="right" vertical="top" wrapText="1"/>
    </xf>
    <xf numFmtId="0" fontId="41" fillId="14" borderId="26" xfId="0" applyFont="1" applyFill="1" applyBorder="1"/>
    <xf numFmtId="0" fontId="36" fillId="12" borderId="8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/>
    </xf>
    <xf numFmtId="0" fontId="43" fillId="17" borderId="170" xfId="0" applyFont="1" applyFill="1" applyBorder="1" applyAlignment="1">
      <alignment horizontal="center" vertical="center"/>
    </xf>
    <xf numFmtId="0" fontId="43" fillId="17" borderId="171" xfId="0" applyFont="1" applyFill="1" applyBorder="1" applyAlignment="1">
      <alignment horizontal="center" vertical="center"/>
    </xf>
    <xf numFmtId="0" fontId="43" fillId="17" borderId="172" xfId="0" applyFont="1" applyFill="1" applyBorder="1" applyAlignment="1">
      <alignment horizontal="center" vertical="center"/>
    </xf>
    <xf numFmtId="0" fontId="43" fillId="17" borderId="173" xfId="0" applyFont="1" applyFill="1" applyBorder="1" applyAlignment="1">
      <alignment horizontal="center" vertical="center"/>
    </xf>
    <xf numFmtId="0" fontId="43" fillId="17" borderId="174" xfId="0" applyFont="1" applyFill="1" applyBorder="1" applyAlignment="1">
      <alignment horizontal="center" vertical="center"/>
    </xf>
    <xf numFmtId="0" fontId="43" fillId="17" borderId="175" xfId="0" applyFont="1" applyFill="1" applyBorder="1" applyAlignment="1">
      <alignment horizontal="center" vertical="center"/>
    </xf>
    <xf numFmtId="0" fontId="43" fillId="17" borderId="176" xfId="0" applyFont="1" applyFill="1" applyBorder="1" applyAlignment="1">
      <alignment horizontal="center" vertical="center"/>
    </xf>
    <xf numFmtId="0" fontId="43" fillId="17" borderId="177" xfId="0" applyFont="1" applyFill="1" applyBorder="1" applyAlignment="1">
      <alignment horizontal="center" vertical="center"/>
    </xf>
    <xf numFmtId="0" fontId="43" fillId="17" borderId="178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25" xfId="0" applyNumberFormat="1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4" fontId="64" fillId="0" borderId="122" xfId="5" applyNumberFormat="1" applyFont="1" applyFill="1" applyBorder="1" applyProtection="1"/>
    <xf numFmtId="164" fontId="64" fillId="0" borderId="18" xfId="5" applyNumberFormat="1" applyFont="1" applyFill="1" applyBorder="1" applyProtection="1"/>
    <xf numFmtId="164" fontId="58" fillId="22" borderId="22" xfId="5" applyNumberFormat="1" applyFont="1" applyFill="1" applyBorder="1" applyAlignment="1" applyProtection="1">
      <alignment horizontal="center"/>
    </xf>
    <xf numFmtId="164" fontId="64" fillId="21" borderId="86" xfId="5" applyNumberFormat="1" applyFont="1" applyFill="1" applyBorder="1" applyAlignment="1" applyProtection="1">
      <alignment horizontal="center"/>
    </xf>
    <xf numFmtId="164" fontId="63" fillId="19" borderId="22" xfId="5" applyNumberFormat="1" applyFont="1" applyFill="1" applyBorder="1" applyAlignment="1" applyProtection="1">
      <alignment horizontal="center"/>
    </xf>
    <xf numFmtId="164" fontId="64" fillId="22" borderId="22" xfId="5" applyNumberFormat="1" applyFont="1" applyFill="1" applyBorder="1" applyProtection="1"/>
    <xf numFmtId="164" fontId="64" fillId="22" borderId="125" xfId="5" applyNumberFormat="1" applyFont="1" applyFill="1" applyBorder="1" applyProtection="1"/>
    <xf numFmtId="164" fontId="33" fillId="0" borderId="18" xfId="5" applyNumberFormat="1" applyFont="1" applyFill="1" applyBorder="1" applyProtection="1"/>
    <xf numFmtId="164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4" fillId="3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7" fillId="8" borderId="62" xfId="0" applyFont="1" applyFill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right" vertical="center" wrapText="1"/>
    </xf>
    <xf numFmtId="0" fontId="19" fillId="17" borderId="22" xfId="0" applyFont="1" applyFill="1" applyBorder="1" applyAlignment="1">
      <alignment horizontal="left" vertical="center" wrapText="1"/>
    </xf>
    <xf numFmtId="0" fontId="19" fillId="17" borderId="38" xfId="0" applyFont="1" applyFill="1" applyBorder="1" applyAlignment="1">
      <alignment horizontal="left" vertical="center" wrapText="1"/>
    </xf>
    <xf numFmtId="0" fontId="17" fillId="8" borderId="63" xfId="0" applyFont="1" applyFill="1" applyBorder="1" applyAlignment="1">
      <alignment horizontal="right" vertical="center" wrapText="1"/>
    </xf>
    <xf numFmtId="0" fontId="17" fillId="8" borderId="64" xfId="0" applyFont="1" applyFill="1" applyBorder="1" applyAlignment="1">
      <alignment horizontal="right" vertical="center" wrapText="1"/>
    </xf>
    <xf numFmtId="0" fontId="19" fillId="17" borderId="65" xfId="0" applyFont="1" applyFill="1" applyBorder="1" applyAlignment="1">
      <alignment horizontal="left" vertical="center"/>
    </xf>
    <xf numFmtId="0" fontId="19" fillId="17" borderId="66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3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8" borderId="58" xfId="0" applyFont="1" applyFill="1" applyBorder="1" applyAlignment="1">
      <alignment horizontal="right" vertical="center" wrapText="1"/>
    </xf>
    <xf numFmtId="0" fontId="17" fillId="8" borderId="59" xfId="0" applyFont="1" applyFill="1" applyBorder="1" applyAlignment="1">
      <alignment horizontal="right" vertical="center" wrapText="1"/>
    </xf>
    <xf numFmtId="0" fontId="18" fillId="17" borderId="60" xfId="0" applyFont="1" applyFill="1" applyBorder="1" applyAlignment="1">
      <alignment horizontal="center" vertical="center" wrapText="1"/>
    </xf>
    <xf numFmtId="0" fontId="18" fillId="17" borderId="61" xfId="0" applyFont="1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8" fillId="0" borderId="125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3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6" xfId="0" applyFont="1" applyFill="1" applyBorder="1" applyAlignment="1">
      <alignment horizontal="center" vertical="top" wrapText="1"/>
    </xf>
    <xf numFmtId="0" fontId="8" fillId="19" borderId="114" xfId="0" applyFont="1" applyFill="1" applyBorder="1" applyAlignment="1">
      <alignment horizontal="center" vertical="top" wrapText="1"/>
    </xf>
    <xf numFmtId="0" fontId="8" fillId="10" borderId="125" xfId="0" applyFont="1" applyFill="1" applyBorder="1" applyAlignment="1">
      <alignment horizontal="center" wrapText="1"/>
    </xf>
    <xf numFmtId="0" fontId="8" fillId="10" borderId="113" xfId="0" applyFont="1" applyFill="1" applyBorder="1" applyAlignment="1">
      <alignment horizontal="center" wrapText="1"/>
    </xf>
    <xf numFmtId="0" fontId="8" fillId="10" borderId="125" xfId="0" applyFont="1" applyFill="1" applyBorder="1" applyAlignment="1">
      <alignment horizontal="center" vertical="center" wrapText="1"/>
    </xf>
    <xf numFmtId="0" fontId="8" fillId="10" borderId="1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9" xfId="0" applyFont="1" applyFill="1" applyBorder="1" applyAlignment="1">
      <alignment horizontal="center" vertical="top" wrapText="1"/>
    </xf>
    <xf numFmtId="0" fontId="9" fillId="6" borderId="180" xfId="0" applyFont="1" applyFill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0" fillId="17" borderId="6" xfId="0" applyFill="1" applyBorder="1" applyAlignment="1" applyProtection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27" fillId="10" borderId="0" xfId="0" applyFont="1" applyFill="1" applyAlignment="1">
      <alignment horizontal="left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3" fillId="5" borderId="91" xfId="3" applyNumberFormat="1" applyFont="1" applyBorder="1" applyAlignment="1">
      <alignment horizontal="right" vertical="top" wrapText="1"/>
    </xf>
    <xf numFmtId="2" fontId="3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5" fontId="51" fillId="3" borderId="8" xfId="4" applyNumberFormat="1" applyFont="1" applyFill="1" applyBorder="1" applyAlignment="1">
      <alignment horizontal="right" vertical="top" wrapText="1"/>
    </xf>
    <xf numFmtId="165" fontId="51" fillId="3" borderId="9" xfId="4" applyNumberFormat="1" applyFont="1" applyFill="1" applyBorder="1" applyAlignment="1">
      <alignment horizontal="right" vertical="top" wrapText="1"/>
    </xf>
    <xf numFmtId="165" fontId="51" fillId="3" borderId="8" xfId="4" applyNumberFormat="1" applyFont="1" applyFill="1" applyBorder="1" applyAlignment="1">
      <alignment vertical="top" wrapText="1"/>
    </xf>
    <xf numFmtId="165" fontId="51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51" fillId="3" borderId="8" xfId="4" applyNumberFormat="1" applyFont="1" applyFill="1" applyBorder="1" applyAlignment="1">
      <alignment vertical="top" wrapText="1"/>
    </xf>
    <xf numFmtId="2" fontId="51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5" fillId="22" borderId="14" xfId="0" applyFont="1" applyFill="1" applyBorder="1" applyAlignment="1">
      <alignment horizontal="center"/>
    </xf>
    <xf numFmtId="0" fontId="65" fillId="22" borderId="23" xfId="0" applyFont="1" applyFill="1" applyBorder="1" applyAlignment="1">
      <alignment horizontal="center"/>
    </xf>
  </cellXfs>
  <cellStyles count="8">
    <cellStyle name="Čiarka" xfId="5" builtinId="3"/>
    <cellStyle name="Dobrá" xfId="1" builtinId="26"/>
    <cellStyle name="Hypertextové prepojenie" xfId="6" builtinId="8"/>
    <cellStyle name="Mena" xfId="7" builtinId="4"/>
    <cellStyle name="Normálna" xfId="0" builtinId="0"/>
    <cellStyle name="Percentá" xfId="4" builtinId="5"/>
    <cellStyle name="Poznámka" xfId="3" builtinId="10"/>
    <cellStyle name="Výpočet" xfId="2" builtinId="2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11</xdr:col>
      <xdr:colOff>552450</xdr:colOff>
      <xdr:row>35</xdr:row>
      <xdr:rowOff>140105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7258050" cy="62170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600074</xdr:colOff>
      <xdr:row>3</xdr:row>
      <xdr:rowOff>0</xdr:rowOff>
    </xdr:from>
    <xdr:to>
      <xdr:col>44</xdr:col>
      <xdr:colOff>508192</xdr:colOff>
      <xdr:row>35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4" y="571500"/>
          <a:ext cx="15757718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46"/>
  <sheetViews>
    <sheetView view="pageBreakPreview" zoomScale="60" zoomScaleNormal="100" workbookViewId="0"/>
  </sheetViews>
  <sheetFormatPr defaultColWidth="8.85546875" defaultRowHeight="15" x14ac:dyDescent="0.25"/>
  <cols>
    <col min="2" max="2" width="11.7109375" customWidth="1"/>
    <col min="4" max="4" width="6.42578125" customWidth="1"/>
    <col min="6" max="6" width="7.7109375" customWidth="1"/>
    <col min="7" max="7" width="12.28515625" customWidth="1"/>
    <col min="8" max="8" width="6" customWidth="1"/>
    <col min="9" max="9" width="14.28515625" customWidth="1"/>
  </cols>
  <sheetData>
    <row r="1" spans="1:18" x14ac:dyDescent="0.25">
      <c r="A1" s="37"/>
      <c r="B1" s="37"/>
      <c r="C1" s="37"/>
      <c r="D1" s="37"/>
      <c r="E1" s="37"/>
      <c r="F1" s="37"/>
      <c r="G1" s="37"/>
      <c r="H1" s="37"/>
      <c r="I1" s="37"/>
      <c r="J1" s="373"/>
      <c r="K1" s="374"/>
      <c r="L1" s="374"/>
      <c r="M1" s="374"/>
      <c r="N1" s="374"/>
      <c r="O1" s="374"/>
      <c r="P1" s="374"/>
      <c r="Q1" s="374"/>
      <c r="R1" s="374"/>
    </row>
    <row r="2" spans="1:18" x14ac:dyDescent="0.25">
      <c r="A2" s="37"/>
      <c r="B2" s="37"/>
      <c r="C2" s="37"/>
      <c r="D2" s="37"/>
      <c r="E2" s="37"/>
      <c r="F2" s="37"/>
      <c r="G2" s="37"/>
      <c r="H2" s="37"/>
      <c r="I2" s="37"/>
      <c r="J2" s="374"/>
      <c r="K2" s="374"/>
      <c r="L2" s="374"/>
      <c r="M2" s="374"/>
      <c r="N2" s="374"/>
      <c r="O2" s="374"/>
      <c r="P2" s="374"/>
      <c r="Q2" s="374"/>
      <c r="R2" s="374"/>
    </row>
    <row r="3" spans="1:18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4"/>
      <c r="K3" s="374"/>
      <c r="L3" s="374"/>
      <c r="M3" s="374"/>
      <c r="N3" s="374"/>
      <c r="O3" s="374"/>
      <c r="P3" s="374"/>
      <c r="Q3" s="374"/>
      <c r="R3" s="374"/>
    </row>
    <row r="4" spans="1:18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4"/>
      <c r="K4" s="374"/>
      <c r="L4" s="374"/>
      <c r="M4" s="374"/>
      <c r="N4" s="374"/>
      <c r="O4" s="374"/>
      <c r="P4" s="374"/>
      <c r="Q4" s="374"/>
      <c r="R4" s="374"/>
    </row>
    <row r="5" spans="1:18" x14ac:dyDescent="0.25">
      <c r="A5" s="37"/>
      <c r="B5" s="37"/>
      <c r="C5" s="37"/>
      <c r="D5" s="37"/>
      <c r="E5" s="37"/>
      <c r="F5" s="37"/>
      <c r="G5" s="37"/>
      <c r="H5" s="37"/>
      <c r="I5" s="37"/>
      <c r="J5" s="374"/>
      <c r="K5" s="374"/>
      <c r="L5" s="374"/>
      <c r="M5" s="374"/>
      <c r="N5" s="374"/>
      <c r="O5" s="374"/>
      <c r="P5" s="374"/>
      <c r="Q5" s="374"/>
      <c r="R5" s="374"/>
    </row>
    <row r="6" spans="1:18" ht="62.1" customHeight="1" x14ac:dyDescent="0.5">
      <c r="A6" s="682" t="s">
        <v>117</v>
      </c>
      <c r="B6" s="682"/>
      <c r="C6" s="682"/>
      <c r="D6" s="682"/>
      <c r="E6" s="682"/>
      <c r="F6" s="682"/>
      <c r="G6" s="682"/>
      <c r="H6" s="682"/>
      <c r="I6" s="682"/>
      <c r="J6" s="374"/>
      <c r="K6" s="374"/>
      <c r="L6" s="374"/>
      <c r="M6" s="374"/>
      <c r="N6" s="374"/>
      <c r="O6" s="374"/>
      <c r="P6" s="374"/>
      <c r="Q6" s="374"/>
      <c r="R6" s="374"/>
    </row>
    <row r="7" spans="1:18" ht="18.75" customHeight="1" x14ac:dyDescent="0.3">
      <c r="A7" s="663" t="s">
        <v>67</v>
      </c>
      <c r="B7" s="663"/>
      <c r="C7" s="663"/>
      <c r="D7" s="663"/>
      <c r="E7" s="663"/>
      <c r="F7" s="663"/>
      <c r="G7" s="663"/>
      <c r="H7" s="663"/>
      <c r="I7" s="663"/>
      <c r="J7" s="374"/>
      <c r="K7" s="374"/>
      <c r="L7" s="374"/>
      <c r="M7" s="374"/>
      <c r="N7" s="374"/>
      <c r="O7" s="374"/>
      <c r="P7" s="374"/>
      <c r="Q7" s="374"/>
      <c r="R7" s="374"/>
    </row>
    <row r="8" spans="1:18" x14ac:dyDescent="0.25">
      <c r="A8" s="683" t="s">
        <v>62</v>
      </c>
      <c r="B8" s="683"/>
      <c r="C8" s="683"/>
      <c r="D8" s="683"/>
      <c r="E8" s="683"/>
      <c r="F8" s="683"/>
      <c r="G8" s="683"/>
      <c r="H8" s="683"/>
      <c r="I8" s="683"/>
      <c r="J8" s="374"/>
      <c r="K8" s="374"/>
      <c r="L8" s="374"/>
      <c r="M8" s="374"/>
      <c r="N8" s="374"/>
      <c r="O8" s="374"/>
      <c r="P8" s="374"/>
      <c r="Q8" s="374"/>
      <c r="R8" s="374"/>
    </row>
    <row r="9" spans="1:18" ht="15" customHeight="1" x14ac:dyDescent="0.25">
      <c r="A9" s="683"/>
      <c r="B9" s="683"/>
      <c r="C9" s="683"/>
      <c r="D9" s="683"/>
      <c r="E9" s="683"/>
      <c r="F9" s="683"/>
      <c r="G9" s="683"/>
      <c r="H9" s="683"/>
      <c r="I9" s="683"/>
      <c r="J9" s="374"/>
      <c r="K9" s="374"/>
      <c r="L9" s="374"/>
      <c r="M9" s="374"/>
      <c r="N9" s="374"/>
      <c r="O9" s="374"/>
      <c r="P9" s="374"/>
      <c r="Q9" s="374"/>
      <c r="R9" s="374"/>
    </row>
    <row r="10" spans="1:18" ht="48.6" customHeight="1" x14ac:dyDescent="0.25">
      <c r="A10" s="683"/>
      <c r="B10" s="683"/>
      <c r="C10" s="683"/>
      <c r="D10" s="683"/>
      <c r="E10" s="683"/>
      <c r="F10" s="683"/>
      <c r="G10" s="683"/>
      <c r="H10" s="683"/>
      <c r="I10" s="683"/>
      <c r="J10" s="374"/>
      <c r="K10" s="374"/>
      <c r="L10" s="374"/>
      <c r="M10" s="374"/>
      <c r="N10" s="374"/>
      <c r="O10" s="374"/>
      <c r="P10" s="374"/>
      <c r="Q10" s="374"/>
      <c r="R10" s="374"/>
    </row>
    <row r="11" spans="1:18" ht="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4"/>
      <c r="K11" s="374"/>
      <c r="L11" s="374"/>
      <c r="M11" s="374"/>
      <c r="N11" s="374"/>
      <c r="O11" s="374"/>
      <c r="P11" s="374"/>
      <c r="Q11" s="374"/>
      <c r="R11" s="374"/>
    </row>
    <row r="12" spans="1:18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4"/>
      <c r="K12" s="374"/>
      <c r="L12" s="374"/>
      <c r="M12" s="374"/>
      <c r="N12" s="374"/>
      <c r="O12" s="374"/>
      <c r="P12" s="374"/>
      <c r="Q12" s="374"/>
      <c r="R12" s="374"/>
    </row>
    <row r="13" spans="1:18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4"/>
      <c r="K13" s="374"/>
      <c r="L13" s="374"/>
      <c r="M13" s="374"/>
      <c r="N13" s="374"/>
      <c r="O13" s="374"/>
      <c r="P13" s="374"/>
      <c r="Q13" s="374"/>
      <c r="R13" s="374"/>
    </row>
    <row r="14" spans="1:18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4"/>
      <c r="K14" s="374"/>
      <c r="L14" s="374"/>
      <c r="M14" s="374"/>
      <c r="N14" s="374"/>
      <c r="O14" s="374"/>
      <c r="P14" s="374"/>
      <c r="Q14" s="374"/>
      <c r="R14" s="374"/>
    </row>
    <row r="15" spans="1:18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4"/>
      <c r="K15" s="374"/>
      <c r="L15" s="374"/>
      <c r="M15" s="374"/>
      <c r="N15" s="374"/>
      <c r="O15" s="374"/>
      <c r="P15" s="374"/>
      <c r="Q15" s="374"/>
      <c r="R15" s="374"/>
    </row>
    <row r="16" spans="1:18" x14ac:dyDescent="0.25">
      <c r="B16" s="37"/>
      <c r="C16" s="37"/>
      <c r="D16" s="37"/>
      <c r="E16" s="37"/>
      <c r="F16" s="37"/>
      <c r="G16" s="37"/>
      <c r="H16" s="37"/>
      <c r="I16" s="37"/>
      <c r="J16" s="374"/>
      <c r="K16" s="374"/>
      <c r="L16" s="374"/>
      <c r="M16" s="374"/>
      <c r="N16" s="374"/>
      <c r="O16" s="374"/>
      <c r="P16" s="374"/>
      <c r="Q16" s="374"/>
      <c r="R16" s="374"/>
    </row>
    <row r="17" spans="1:18" x14ac:dyDescent="0.25">
      <c r="B17" s="37"/>
      <c r="C17" s="37"/>
      <c r="D17" s="37"/>
      <c r="E17" s="37"/>
      <c r="F17" s="37"/>
      <c r="G17" s="37"/>
      <c r="H17" s="37"/>
      <c r="I17" s="37"/>
      <c r="J17" s="374"/>
      <c r="K17" s="374"/>
      <c r="L17" s="374"/>
      <c r="M17" s="374"/>
      <c r="N17" s="374"/>
      <c r="O17" s="374"/>
      <c r="P17" s="374"/>
      <c r="Q17" s="374"/>
      <c r="R17" s="374"/>
    </row>
    <row r="18" spans="1:18" ht="15.75" thickBot="1" x14ac:dyDescent="0.3">
      <c r="B18" s="37"/>
      <c r="C18" s="37"/>
      <c r="D18" s="37"/>
      <c r="E18" s="37"/>
      <c r="F18" s="37"/>
      <c r="G18" s="37"/>
      <c r="H18" s="37"/>
      <c r="I18" s="37"/>
      <c r="J18" s="374"/>
      <c r="K18" s="374"/>
      <c r="L18" s="374"/>
      <c r="M18" s="374"/>
      <c r="N18" s="374"/>
      <c r="O18" s="374"/>
      <c r="P18" s="374"/>
      <c r="Q18" s="374"/>
      <c r="R18" s="374"/>
    </row>
    <row r="19" spans="1:18" ht="16.5" x14ac:dyDescent="0.25">
      <c r="A19" s="684" t="s">
        <v>118</v>
      </c>
      <c r="B19" s="685"/>
      <c r="C19" s="686"/>
      <c r="D19" s="686"/>
      <c r="E19" s="686"/>
      <c r="F19" s="686"/>
      <c r="G19" s="686"/>
      <c r="H19" s="686"/>
      <c r="I19" s="687"/>
      <c r="J19" s="374"/>
      <c r="K19" s="374"/>
      <c r="L19" s="374"/>
      <c r="M19" s="374"/>
      <c r="N19" s="374"/>
      <c r="O19" s="374"/>
      <c r="P19" s="374"/>
      <c r="Q19" s="374"/>
      <c r="R19" s="374"/>
    </row>
    <row r="20" spans="1:18" ht="16.5" x14ac:dyDescent="0.25">
      <c r="A20" s="664" t="s">
        <v>122</v>
      </c>
      <c r="B20" s="665"/>
      <c r="C20" s="680"/>
      <c r="D20" s="680"/>
      <c r="E20" s="680"/>
      <c r="F20" s="680"/>
      <c r="G20" s="680"/>
      <c r="H20" s="680"/>
      <c r="I20" s="681"/>
      <c r="J20" s="374"/>
      <c r="K20" s="374"/>
      <c r="L20" s="374"/>
      <c r="M20" s="374"/>
      <c r="N20" s="374"/>
      <c r="O20" s="374"/>
      <c r="P20" s="374"/>
      <c r="Q20" s="374"/>
      <c r="R20" s="374"/>
    </row>
    <row r="21" spans="1:18" ht="16.5" x14ac:dyDescent="0.25">
      <c r="A21" s="664" t="s">
        <v>121</v>
      </c>
      <c r="B21" s="665"/>
      <c r="C21" s="680"/>
      <c r="D21" s="680"/>
      <c r="E21" s="680"/>
      <c r="F21" s="680"/>
      <c r="G21" s="680"/>
      <c r="H21" s="680"/>
      <c r="I21" s="681"/>
      <c r="J21" s="374"/>
      <c r="K21" s="374"/>
      <c r="L21" s="374"/>
      <c r="M21" s="374"/>
      <c r="N21" s="374"/>
      <c r="O21" s="374"/>
      <c r="P21" s="374"/>
      <c r="Q21" s="374"/>
      <c r="R21" s="374"/>
    </row>
    <row r="22" spans="1:18" ht="14.45" customHeight="1" x14ac:dyDescent="0.25">
      <c r="A22" s="664" t="s">
        <v>51</v>
      </c>
      <c r="B22" s="665"/>
      <c r="C22" s="680"/>
      <c r="D22" s="680"/>
      <c r="E22" s="680"/>
      <c r="F22" s="680"/>
      <c r="G22" s="680"/>
      <c r="H22" s="680"/>
      <c r="I22" s="681"/>
      <c r="J22" s="374"/>
      <c r="K22" s="374"/>
      <c r="L22" s="374"/>
      <c r="M22" s="374"/>
      <c r="N22" s="374"/>
      <c r="O22" s="374"/>
      <c r="P22" s="374"/>
      <c r="Q22" s="374"/>
      <c r="R22" s="374"/>
    </row>
    <row r="23" spans="1:18" ht="16.5" x14ac:dyDescent="0.25">
      <c r="A23" s="664" t="s">
        <v>52</v>
      </c>
      <c r="B23" s="665"/>
      <c r="C23" s="680"/>
      <c r="D23" s="680"/>
      <c r="E23" s="680"/>
      <c r="F23" s="680"/>
      <c r="G23" s="680"/>
      <c r="H23" s="680"/>
      <c r="I23" s="681"/>
      <c r="J23" s="374"/>
      <c r="K23" s="374"/>
      <c r="L23" s="374"/>
      <c r="M23" s="374"/>
      <c r="N23" s="374"/>
      <c r="O23" s="374"/>
      <c r="P23" s="374"/>
      <c r="Q23" s="374"/>
      <c r="R23" s="374"/>
    </row>
    <row r="24" spans="1:18" ht="16.5" x14ac:dyDescent="0.25">
      <c r="A24" s="664" t="s">
        <v>53</v>
      </c>
      <c r="B24" s="665"/>
      <c r="C24" s="680"/>
      <c r="D24" s="680"/>
      <c r="E24" s="680"/>
      <c r="F24" s="680"/>
      <c r="G24" s="680"/>
      <c r="H24" s="680"/>
      <c r="I24" s="681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18" ht="16.5" x14ac:dyDescent="0.25">
      <c r="A25" s="664" t="s">
        <v>54</v>
      </c>
      <c r="B25" s="665"/>
      <c r="C25" s="680"/>
      <c r="D25" s="680"/>
      <c r="E25" s="680"/>
      <c r="F25" s="680"/>
      <c r="G25" s="680"/>
      <c r="H25" s="680"/>
      <c r="I25" s="681"/>
      <c r="J25" s="374"/>
      <c r="K25" s="374"/>
      <c r="L25" s="374"/>
      <c r="M25" s="374"/>
      <c r="N25" s="374"/>
      <c r="O25" s="374"/>
      <c r="P25" s="374"/>
      <c r="Q25" s="374"/>
      <c r="R25" s="374"/>
    </row>
    <row r="26" spans="1:18" ht="16.5" x14ac:dyDescent="0.25">
      <c r="A26" s="664" t="s">
        <v>55</v>
      </c>
      <c r="B26" s="665"/>
      <c r="C26" s="680"/>
      <c r="D26" s="680"/>
      <c r="E26" s="680"/>
      <c r="F26" s="680"/>
      <c r="G26" s="680"/>
      <c r="H26" s="680"/>
      <c r="I26" s="681"/>
      <c r="J26" s="374"/>
      <c r="K26" s="374"/>
      <c r="L26" s="374"/>
      <c r="M26" s="374"/>
      <c r="N26" s="374"/>
      <c r="O26" s="374"/>
      <c r="P26" s="374"/>
      <c r="Q26" s="374"/>
      <c r="R26" s="374"/>
    </row>
    <row r="27" spans="1:18" ht="19.350000000000001" customHeight="1" x14ac:dyDescent="0.25">
      <c r="A27" s="664" t="s">
        <v>56</v>
      </c>
      <c r="B27" s="665"/>
      <c r="C27" s="666" t="s">
        <v>57</v>
      </c>
      <c r="D27" s="666"/>
      <c r="E27" s="666"/>
      <c r="F27" s="666"/>
      <c r="G27" s="666"/>
      <c r="H27" s="666"/>
      <c r="I27" s="667"/>
      <c r="J27" s="374"/>
      <c r="K27" s="374"/>
      <c r="L27" s="374"/>
      <c r="M27" s="374"/>
      <c r="N27" s="374"/>
      <c r="O27" s="374"/>
      <c r="P27" s="374"/>
      <c r="Q27" s="374"/>
      <c r="R27" s="374"/>
    </row>
    <row r="28" spans="1:18" ht="33" customHeight="1" thickBot="1" x14ac:dyDescent="0.3">
      <c r="A28" s="668" t="s">
        <v>58</v>
      </c>
      <c r="B28" s="669"/>
      <c r="C28" s="670" t="s">
        <v>59</v>
      </c>
      <c r="D28" s="670"/>
      <c r="E28" s="670"/>
      <c r="F28" s="670"/>
      <c r="G28" s="670"/>
      <c r="H28" s="670"/>
      <c r="I28" s="671"/>
      <c r="J28" s="374"/>
      <c r="K28" s="374"/>
      <c r="L28" s="374"/>
      <c r="M28" s="374"/>
      <c r="N28" s="374"/>
      <c r="O28" s="374"/>
      <c r="P28" s="374"/>
      <c r="Q28" s="374"/>
      <c r="R28" s="374"/>
    </row>
    <row r="29" spans="1:18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4"/>
      <c r="K29" s="374"/>
      <c r="L29" s="374"/>
      <c r="M29" s="374"/>
      <c r="N29" s="374"/>
      <c r="O29" s="374"/>
      <c r="P29" s="374"/>
      <c r="Q29" s="374"/>
      <c r="R29" s="374"/>
    </row>
    <row r="30" spans="1:18" ht="15.75" thickBot="1" x14ac:dyDescent="0.3">
      <c r="A30" s="672" t="s">
        <v>63</v>
      </c>
      <c r="B30" s="672"/>
      <c r="C30" s="672"/>
      <c r="D30" s="672"/>
      <c r="E30" s="672"/>
      <c r="F30" s="672"/>
      <c r="G30" s="672"/>
      <c r="H30" s="672"/>
      <c r="I30" s="672"/>
      <c r="J30" s="374"/>
      <c r="K30" s="374"/>
      <c r="L30" s="374"/>
      <c r="M30" s="374"/>
      <c r="N30" s="374"/>
      <c r="O30" s="374"/>
      <c r="P30" s="374"/>
      <c r="Q30" s="374"/>
      <c r="R30" s="374"/>
    </row>
    <row r="31" spans="1:18" ht="14.45" customHeight="1" x14ac:dyDescent="0.25">
      <c r="A31" s="673" t="s">
        <v>60</v>
      </c>
      <c r="B31" s="674"/>
      <c r="C31" s="657" t="s">
        <v>61</v>
      </c>
      <c r="D31" s="657"/>
      <c r="E31" s="678" t="s">
        <v>64</v>
      </c>
      <c r="F31" s="678"/>
      <c r="G31" s="659" t="s">
        <v>65</v>
      </c>
      <c r="H31" s="659"/>
      <c r="I31" s="661" t="s">
        <v>66</v>
      </c>
      <c r="J31" s="374"/>
      <c r="K31" s="374"/>
      <c r="L31" s="374"/>
      <c r="M31" s="374"/>
      <c r="N31" s="374"/>
      <c r="O31" s="374"/>
      <c r="P31" s="374"/>
      <c r="Q31" s="374"/>
      <c r="R31" s="374"/>
    </row>
    <row r="32" spans="1:18" ht="15.75" thickBot="1" x14ac:dyDescent="0.3">
      <c r="A32" s="675"/>
      <c r="B32" s="676"/>
      <c r="C32" s="677"/>
      <c r="D32" s="677"/>
      <c r="E32" s="679"/>
      <c r="F32" s="679"/>
      <c r="G32" s="660"/>
      <c r="H32" s="660"/>
      <c r="I32" s="662"/>
      <c r="J32" s="374"/>
      <c r="K32" s="374"/>
      <c r="L32" s="374"/>
      <c r="M32" s="374"/>
      <c r="N32" s="374"/>
      <c r="O32" s="374"/>
      <c r="P32" s="374"/>
      <c r="Q32" s="374"/>
      <c r="R32" s="374"/>
    </row>
    <row r="33" spans="1:18" x14ac:dyDescent="0.25">
      <c r="A33" s="657"/>
      <c r="B33" s="657"/>
      <c r="C33" s="657"/>
      <c r="D33" s="657"/>
      <c r="E33" s="657"/>
      <c r="F33" s="657"/>
      <c r="G33" s="657"/>
      <c r="H33" s="657"/>
      <c r="I33" s="657"/>
      <c r="J33" s="374"/>
      <c r="K33" s="374"/>
      <c r="L33" s="374"/>
      <c r="M33" s="374"/>
      <c r="N33" s="374"/>
      <c r="O33" s="374"/>
      <c r="P33" s="374"/>
      <c r="Q33" s="374"/>
      <c r="R33" s="374"/>
    </row>
    <row r="34" spans="1:18" x14ac:dyDescent="0.25">
      <c r="A34" s="658"/>
      <c r="B34" s="658"/>
      <c r="C34" s="658"/>
      <c r="D34" s="658"/>
      <c r="E34" s="658"/>
      <c r="F34" s="658"/>
      <c r="G34" s="658"/>
      <c r="H34" s="658"/>
      <c r="I34" s="658"/>
      <c r="J34" s="374"/>
      <c r="K34" s="374"/>
      <c r="L34" s="374"/>
      <c r="M34" s="374"/>
      <c r="N34" s="374"/>
      <c r="O34" s="374"/>
      <c r="P34" s="374"/>
      <c r="Q34" s="374"/>
      <c r="R34" s="374"/>
    </row>
    <row r="35" spans="1:18" x14ac:dyDescent="0.25">
      <c r="A35" s="658"/>
      <c r="B35" s="658"/>
      <c r="C35" s="658"/>
      <c r="D35" s="658"/>
      <c r="E35" s="658"/>
      <c r="F35" s="658"/>
      <c r="G35" s="658"/>
      <c r="H35" s="658"/>
      <c r="I35" s="658"/>
      <c r="J35" s="374"/>
      <c r="K35" s="374"/>
      <c r="L35" s="374"/>
      <c r="M35" s="374"/>
      <c r="N35" s="374"/>
      <c r="O35" s="374"/>
      <c r="P35" s="374"/>
      <c r="Q35" s="374"/>
      <c r="R35" s="374"/>
    </row>
    <row r="36" spans="1:18" x14ac:dyDescent="0.25">
      <c r="A36" s="85"/>
      <c r="B36" s="85"/>
      <c r="C36" s="37"/>
      <c r="D36" s="37"/>
      <c r="E36" s="37"/>
      <c r="F36" s="37"/>
      <c r="G36" s="37"/>
      <c r="H36" s="37"/>
      <c r="I36" s="37"/>
      <c r="J36" s="374"/>
      <c r="K36" s="374"/>
      <c r="L36" s="374"/>
      <c r="M36" s="374"/>
      <c r="N36" s="374"/>
      <c r="O36" s="374"/>
      <c r="P36" s="374"/>
      <c r="Q36" s="374"/>
      <c r="R36" s="374"/>
    </row>
    <row r="37" spans="1:18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4"/>
      <c r="K37" s="374"/>
      <c r="L37" s="374"/>
      <c r="M37" s="374"/>
      <c r="N37" s="374"/>
      <c r="O37" s="374"/>
      <c r="P37" s="374"/>
      <c r="Q37" s="374"/>
      <c r="R37" s="374"/>
    </row>
    <row r="38" spans="1:18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4"/>
      <c r="K38" s="374"/>
      <c r="L38" s="374"/>
      <c r="M38" s="374"/>
      <c r="N38" s="374"/>
      <c r="O38" s="374"/>
      <c r="P38" s="374"/>
      <c r="Q38" s="374"/>
      <c r="R38" s="374"/>
    </row>
    <row r="39" spans="1:18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4"/>
      <c r="K39" s="374"/>
      <c r="L39" s="374"/>
      <c r="M39" s="374"/>
      <c r="N39" s="374"/>
      <c r="O39" s="374"/>
      <c r="P39" s="374"/>
      <c r="Q39" s="374"/>
      <c r="R39" s="374"/>
    </row>
    <row r="40" spans="1:18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4"/>
      <c r="K40" s="374"/>
      <c r="L40" s="374"/>
      <c r="M40" s="374"/>
      <c r="N40" s="374"/>
      <c r="O40" s="374"/>
      <c r="P40" s="374"/>
      <c r="Q40" s="374"/>
      <c r="R40" s="374"/>
    </row>
    <row r="41" spans="1:18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4"/>
      <c r="K41" s="374"/>
      <c r="L41" s="374"/>
      <c r="M41" s="374"/>
      <c r="N41" s="374"/>
      <c r="O41" s="374"/>
      <c r="P41" s="374"/>
      <c r="Q41" s="374"/>
      <c r="R41" s="374"/>
    </row>
    <row r="42" spans="1:18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4"/>
      <c r="K42" s="374"/>
      <c r="L42" s="374"/>
      <c r="M42" s="374"/>
      <c r="N42" s="374"/>
      <c r="O42" s="374"/>
      <c r="P42" s="374"/>
      <c r="Q42" s="374"/>
      <c r="R42" s="374"/>
    </row>
    <row r="43" spans="1:18" x14ac:dyDescent="0.25">
      <c r="A43" s="37"/>
      <c r="B43" s="37"/>
      <c r="C43" s="37"/>
      <c r="D43" s="37"/>
      <c r="E43" s="37"/>
      <c r="F43" s="37"/>
      <c r="G43" s="37"/>
      <c r="H43" s="37"/>
      <c r="I43" s="37"/>
    </row>
    <row r="44" spans="1:18" x14ac:dyDescent="0.25">
      <c r="A44" s="37"/>
      <c r="B44" s="37"/>
      <c r="C44" s="37"/>
      <c r="D44" s="37"/>
      <c r="E44" s="37"/>
      <c r="F44" s="37"/>
      <c r="G44" s="37"/>
      <c r="H44" s="37"/>
      <c r="I44" s="37"/>
    </row>
    <row r="45" spans="1:18" x14ac:dyDescent="0.25">
      <c r="A45" s="37"/>
      <c r="B45" s="37"/>
      <c r="C45" s="37"/>
      <c r="D45" s="37"/>
      <c r="E45" s="37"/>
      <c r="F45" s="37"/>
      <c r="G45" s="37"/>
      <c r="H45" s="37"/>
      <c r="I45" s="37"/>
    </row>
    <row r="46" spans="1:18" x14ac:dyDescent="0.25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60" zoomScaleNormal="100" workbookViewId="0"/>
  </sheetViews>
  <sheetFormatPr defaultColWidth="8.85546875" defaultRowHeight="15" x14ac:dyDescent="0.25"/>
  <cols>
    <col min="1" max="1" width="25.42578125" customWidth="1"/>
    <col min="2" max="2" width="79" bestFit="1" customWidth="1"/>
    <col min="3" max="3" width="70" bestFit="1" customWidth="1"/>
  </cols>
  <sheetData>
    <row r="1" spans="1:3" ht="19.5" thickBot="1" x14ac:dyDescent="0.35">
      <c r="A1" s="345" t="s">
        <v>284</v>
      </c>
    </row>
    <row r="2" spans="1:3" ht="15.75" thickBot="1" x14ac:dyDescent="0.3">
      <c r="A2" s="353" t="s">
        <v>306</v>
      </c>
      <c r="B2" s="354" t="s">
        <v>307</v>
      </c>
      <c r="C2" s="355" t="s">
        <v>312</v>
      </c>
    </row>
    <row r="3" spans="1:3" x14ac:dyDescent="0.25">
      <c r="A3" s="369" t="s">
        <v>285</v>
      </c>
      <c r="B3" s="356" t="s">
        <v>309</v>
      </c>
      <c r="C3" s="262" t="s">
        <v>308</v>
      </c>
    </row>
    <row r="4" spans="1:3" x14ac:dyDescent="0.25">
      <c r="A4" s="370" t="s">
        <v>286</v>
      </c>
      <c r="B4" s="357" t="s">
        <v>310</v>
      </c>
      <c r="C4" s="358" t="s">
        <v>311</v>
      </c>
    </row>
    <row r="5" spans="1:3" x14ac:dyDescent="0.25">
      <c r="A5" s="370" t="s">
        <v>287</v>
      </c>
      <c r="B5" s="357" t="s">
        <v>313</v>
      </c>
      <c r="C5" s="358" t="s">
        <v>311</v>
      </c>
    </row>
    <row r="6" spans="1:3" x14ac:dyDescent="0.25">
      <c r="A6" s="370" t="s">
        <v>228</v>
      </c>
      <c r="B6" s="357" t="s">
        <v>314</v>
      </c>
      <c r="C6" s="260" t="s">
        <v>316</v>
      </c>
    </row>
    <row r="7" spans="1:3" x14ac:dyDescent="0.25">
      <c r="A7" s="370" t="s">
        <v>288</v>
      </c>
      <c r="B7" s="357" t="s">
        <v>315</v>
      </c>
      <c r="C7" s="358" t="s">
        <v>311</v>
      </c>
    </row>
    <row r="8" spans="1:3" x14ac:dyDescent="0.25">
      <c r="A8" s="370" t="s">
        <v>289</v>
      </c>
      <c r="B8" s="357" t="s">
        <v>317</v>
      </c>
      <c r="C8" s="260" t="s">
        <v>318</v>
      </c>
    </row>
    <row r="9" spans="1:3" x14ac:dyDescent="0.25">
      <c r="A9" s="370" t="s">
        <v>290</v>
      </c>
      <c r="B9" s="357" t="s">
        <v>319</v>
      </c>
      <c r="C9" s="358" t="s">
        <v>311</v>
      </c>
    </row>
    <row r="10" spans="1:3" x14ac:dyDescent="0.25">
      <c r="A10" s="370" t="s">
        <v>291</v>
      </c>
      <c r="B10" s="357" t="s">
        <v>320</v>
      </c>
      <c r="C10" s="260" t="s">
        <v>318</v>
      </c>
    </row>
    <row r="11" spans="1:3" x14ac:dyDescent="0.25">
      <c r="A11" s="370" t="s">
        <v>292</v>
      </c>
      <c r="B11" s="357" t="s">
        <v>321</v>
      </c>
      <c r="C11" s="260" t="s">
        <v>318</v>
      </c>
    </row>
    <row r="12" spans="1:3" x14ac:dyDescent="0.25">
      <c r="A12" s="370" t="s">
        <v>293</v>
      </c>
      <c r="B12" s="357" t="s">
        <v>322</v>
      </c>
      <c r="C12" s="260" t="s">
        <v>318</v>
      </c>
    </row>
    <row r="13" spans="1:3" x14ac:dyDescent="0.25">
      <c r="A13" s="370" t="s">
        <v>294</v>
      </c>
      <c r="B13" s="357" t="s">
        <v>323</v>
      </c>
      <c r="C13" s="260" t="s">
        <v>318</v>
      </c>
    </row>
    <row r="14" spans="1:3" x14ac:dyDescent="0.25">
      <c r="A14" s="370" t="s">
        <v>295</v>
      </c>
      <c r="B14" s="357" t="s">
        <v>359</v>
      </c>
      <c r="C14" s="260" t="s">
        <v>324</v>
      </c>
    </row>
    <row r="15" spans="1:3" x14ac:dyDescent="0.25">
      <c r="A15" s="370" t="s">
        <v>358</v>
      </c>
      <c r="B15" s="357" t="s">
        <v>360</v>
      </c>
      <c r="C15" s="260" t="s">
        <v>318</v>
      </c>
    </row>
    <row r="16" spans="1:3" x14ac:dyDescent="0.25">
      <c r="A16" s="370" t="s">
        <v>300</v>
      </c>
      <c r="B16" s="357" t="s">
        <v>325</v>
      </c>
      <c r="C16" s="260" t="s">
        <v>326</v>
      </c>
    </row>
    <row r="17" spans="1:3" x14ac:dyDescent="0.25">
      <c r="A17" s="370" t="s">
        <v>301</v>
      </c>
      <c r="B17" s="357" t="s">
        <v>327</v>
      </c>
      <c r="C17" s="260" t="s">
        <v>328</v>
      </c>
    </row>
    <row r="18" spans="1:3" ht="30" x14ac:dyDescent="0.25">
      <c r="A18" s="370" t="s">
        <v>302</v>
      </c>
      <c r="B18" s="368" t="s">
        <v>329</v>
      </c>
      <c r="C18" s="371" t="s">
        <v>330</v>
      </c>
    </row>
    <row r="19" spans="1:3" x14ac:dyDescent="0.25">
      <c r="A19" s="370" t="s">
        <v>303</v>
      </c>
      <c r="B19" s="357" t="s">
        <v>331</v>
      </c>
      <c r="C19" s="260" t="s">
        <v>332</v>
      </c>
    </row>
    <row r="20" spans="1:3" x14ac:dyDescent="0.25">
      <c r="A20" s="370" t="s">
        <v>304</v>
      </c>
      <c r="B20" s="357" t="s">
        <v>333</v>
      </c>
      <c r="C20" s="260" t="s">
        <v>335</v>
      </c>
    </row>
    <row r="21" spans="1:3" x14ac:dyDescent="0.25">
      <c r="A21" s="370" t="s">
        <v>305</v>
      </c>
      <c r="B21" s="357" t="s">
        <v>334</v>
      </c>
      <c r="C21" s="260" t="s">
        <v>335</v>
      </c>
    </row>
  </sheetData>
  <sheetProtection password="C3D8" sheet="1" objects="1" scenarios="1"/>
  <hyperlinks>
    <hyperlink ref="A3" location="Sumarizácia!R1C1" display="Sumarizácia"/>
    <hyperlink ref="A4" location="'CBA - Agendové IS'!R1C1" display="CBA"/>
    <hyperlink ref="A5" location="'Analyza citlivosti - AgendovéIS'!R1C1" display="Analyza citlivosti"/>
    <hyperlink ref="A6" location="'Prínosy - Agendové IS'!R1C1" display="Prínosy"/>
    <hyperlink ref="A7" location="'Výdavky - Agendové IS'!R1C1" display="Výdavky"/>
    <hyperlink ref="A8" location="'Parametre - Agendové IS'!R1C1" display="Parametre"/>
    <hyperlink ref="A9" location="TCO!R1C1" display="TCO"/>
    <hyperlink ref="A10" location="'TCO Alt. 1 - SW'!R1C1" display="TCO Alt. 1 - SW"/>
    <hyperlink ref="A11" location="'TCO Alt. 1 - HW'!R1C1" display="TCO Alt. 1 - HW"/>
    <hyperlink ref="A12" location="'TCO Alt. 2 - SW'!R1C1" display="TCO Alt. 2 - SW"/>
    <hyperlink ref="A13" location="'TCO Alt. 2 - HW'!R1C1" display="TCO Alt. 2 - HW"/>
    <hyperlink ref="A14" location="'Rozpočet - vývoj Aplikácií'!R1C1" display="Rozpočet - vývoj aplikácii"/>
    <hyperlink ref="A16" location="'Slepý rozpočet'!R1C1" display="Slepý rozpočet"/>
    <hyperlink ref="A17" location="Faktory!R1C1" display="Faktory"/>
    <hyperlink ref="A18" location="'Meranie prínosov'!R1C1" display="Meranie prínosov"/>
    <hyperlink ref="A19" location="'Procesné mapy'!R1C1" display="Procesné mapy"/>
    <hyperlink ref="A20" location="'Procesy - AS IS'!R1C1" display="Procesy AS IS"/>
    <hyperlink ref="A21" location="'Procesy - TO BE'!R1C1" display="Procesy TO BE"/>
    <hyperlink ref="A15" location="'Rozpočet - HW a licencie'!R1C1" display="Rozpočet - HW a licencie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V32"/>
  <sheetViews>
    <sheetView view="pageBreakPreview" zoomScale="60" zoomScaleNormal="100" workbookViewId="0">
      <selection sqref="A1:C1"/>
    </sheetView>
  </sheetViews>
  <sheetFormatPr defaultColWidth="9.140625" defaultRowHeight="15" x14ac:dyDescent="0.25"/>
  <cols>
    <col min="1" max="1" width="9.140625" style="546"/>
    <col min="2" max="2" width="9.140625" style="546" customWidth="1"/>
    <col min="3" max="3" width="32" style="546" customWidth="1"/>
    <col min="4" max="6" width="13.42578125" style="546" bestFit="1" customWidth="1"/>
    <col min="7" max="7" width="11.7109375" style="546" bestFit="1" customWidth="1"/>
    <col min="8" max="8" width="19.85546875" style="546" customWidth="1"/>
    <col min="9" max="9" width="13.85546875" style="546" bestFit="1" customWidth="1"/>
    <col min="10" max="14" width="9.140625" style="546"/>
    <col min="15" max="15" width="32.28515625" style="546" customWidth="1"/>
    <col min="16" max="18" width="15.42578125" style="546" bestFit="1" customWidth="1"/>
    <col min="19" max="19" width="12.85546875" style="546" bestFit="1" customWidth="1"/>
    <col min="20" max="20" width="20.42578125" style="546" customWidth="1"/>
    <col min="21" max="21" width="15.42578125" style="546" bestFit="1" customWidth="1"/>
    <col min="22" max="16384" width="9.140625" style="546"/>
  </cols>
  <sheetData>
    <row r="1" spans="1:21" ht="21.75" customHeight="1" thickBot="1" x14ac:dyDescent="0.3">
      <c r="A1" s="688" t="s">
        <v>382</v>
      </c>
      <c r="B1" s="688"/>
      <c r="C1" s="688"/>
      <c r="D1" s="545"/>
      <c r="E1" s="545"/>
      <c r="F1" s="545"/>
      <c r="G1" s="545"/>
      <c r="H1" s="545"/>
      <c r="I1" s="545"/>
      <c r="J1" s="545"/>
      <c r="K1" s="545"/>
      <c r="L1" s="545"/>
      <c r="M1" s="688" t="s">
        <v>383</v>
      </c>
      <c r="N1" s="688"/>
      <c r="O1" s="688"/>
    </row>
    <row r="2" spans="1:21" ht="30" x14ac:dyDescent="0.25">
      <c r="A2" s="689"/>
      <c r="B2" s="690"/>
      <c r="C2" s="691"/>
      <c r="D2" s="640" t="str">
        <f>'Parametre - Agendové IS'!G1</f>
        <v>Modul 1</v>
      </c>
      <c r="E2" s="640" t="str">
        <f>'Parametre - Agendové IS'!J1</f>
        <v>Modul 2</v>
      </c>
      <c r="F2" s="640" t="str">
        <f>'Parametre - Agendové IS'!M1</f>
        <v>Modul 3</v>
      </c>
      <c r="G2" s="641" t="str">
        <f>'Parametre - Agendové IS'!P1</f>
        <v>Modul N</v>
      </c>
      <c r="H2" s="643" t="s">
        <v>368</v>
      </c>
      <c r="I2" s="642" t="s">
        <v>109</v>
      </c>
      <c r="M2" s="689"/>
      <c r="N2" s="690"/>
      <c r="O2" s="691"/>
      <c r="P2" s="640" t="str">
        <f>D2</f>
        <v>Modul 1</v>
      </c>
      <c r="Q2" s="640" t="str">
        <f>E2</f>
        <v>Modul 2</v>
      </c>
      <c r="R2" s="640" t="str">
        <f>F2</f>
        <v>Modul 3</v>
      </c>
      <c r="S2" s="641" t="str">
        <f>G2</f>
        <v>Modul N</v>
      </c>
      <c r="T2" s="643" t="s">
        <v>368</v>
      </c>
      <c r="U2" s="642" t="s">
        <v>109</v>
      </c>
    </row>
    <row r="3" spans="1:21" x14ac:dyDescent="0.25">
      <c r="A3" s="375" t="s">
        <v>387</v>
      </c>
      <c r="B3" s="376"/>
      <c r="C3" s="377"/>
      <c r="D3" s="378">
        <f>D4+D5+D9+D13+D14</f>
        <v>15260264.959197246</v>
      </c>
      <c r="E3" s="378">
        <f>E4+E5+E9+E13+E14</f>
        <v>17548183.855030958</v>
      </c>
      <c r="F3" s="378">
        <f>F4+F5+F9+F13+F14</f>
        <v>84952937.27352263</v>
      </c>
      <c r="G3" s="379">
        <f>G4+G5+G9+G13+G14</f>
        <v>-2665.2021302304211</v>
      </c>
      <c r="H3" s="378">
        <f>H5+H9+H13+H14</f>
        <v>0</v>
      </c>
      <c r="I3" s="547">
        <f>SUM(D3:H3)</f>
        <v>117758720.88562061</v>
      </c>
      <c r="M3" s="375" t="s">
        <v>387</v>
      </c>
      <c r="N3" s="376"/>
      <c r="O3" s="377"/>
      <c r="P3" s="378">
        <f>P4+P5+P9+P13+P14</f>
        <v>16747980</v>
      </c>
      <c r="Q3" s="378">
        <f>Q4+Q5+Q9+Q13+Q14</f>
        <v>20641500</v>
      </c>
      <c r="R3" s="378">
        <f>R4+R5+R9+R13+R14</f>
        <v>103854176</v>
      </c>
      <c r="S3" s="379">
        <f>S4+S5+S9+S13+S14</f>
        <v>-3312</v>
      </c>
      <c r="T3" s="378">
        <f>T5+T9+T13+T14</f>
        <v>0</v>
      </c>
      <c r="U3" s="547">
        <f>SUM(P3:T3)</f>
        <v>141240344</v>
      </c>
    </row>
    <row r="4" spans="1:21" x14ac:dyDescent="0.25">
      <c r="A4" s="380"/>
      <c r="B4" s="381" t="s">
        <v>70</v>
      </c>
      <c r="C4" s="382"/>
      <c r="D4" s="571">
        <f>'Parametre - Agendové IS'!I107+NPV(Faktory!$D$5,'Parametre - Agendové IS'!I108:I116)</f>
        <v>-15366591.934976378</v>
      </c>
      <c r="E4" s="571">
        <f>'Parametre - Agendové IS'!L107+NPV(Faktory!$D$5,'Parametre - Agendové IS'!L108:L116)</f>
        <v>-1536659.1934976378</v>
      </c>
      <c r="F4" s="571">
        <f>'Parametre - Agendové IS'!O107+NPV(Faktory!$D$5,'Parametre - Agendové IS'!O108:O116)</f>
        <v>959434.33882281918</v>
      </c>
      <c r="G4" s="572">
        <f>'Parametre - Agendové IS'!R107+NPV(Faktory!$D$5,'Parametre - Agendové IS'!R108:R116)</f>
        <v>-2665.2021302304211</v>
      </c>
      <c r="H4" s="646" t="s">
        <v>235</v>
      </c>
      <c r="I4" s="573">
        <f>SUM(D4:H4)</f>
        <v>-15946481.991781427</v>
      </c>
      <c r="M4" s="380"/>
      <c r="N4" s="381" t="s">
        <v>70</v>
      </c>
      <c r="O4" s="382"/>
      <c r="P4" s="571">
        <f>SUM('Parametre - Agendové IS'!I107:I116)</f>
        <v>-20376000</v>
      </c>
      <c r="Q4" s="571">
        <f>SUM('Parametre - Agendové IS'!L107:L116)</f>
        <v>-2037600</v>
      </c>
      <c r="R4" s="571">
        <f>SUM('Parametre - Agendové IS'!O107:O116)</f>
        <v>1346200</v>
      </c>
      <c r="S4" s="572">
        <f>SUM('Parametre - Agendové IS'!R107:R116)</f>
        <v>-3312</v>
      </c>
      <c r="T4" s="646" t="s">
        <v>235</v>
      </c>
      <c r="U4" s="573">
        <f>SUM(P4:T4)</f>
        <v>-21070712</v>
      </c>
    </row>
    <row r="5" spans="1:21" x14ac:dyDescent="0.25">
      <c r="A5" s="380"/>
      <c r="B5" s="381" t="s">
        <v>233</v>
      </c>
      <c r="C5" s="382"/>
      <c r="D5" s="571">
        <f>SUM(D6:D8)</f>
        <v>7569971.4285714282</v>
      </c>
      <c r="E5" s="571">
        <f>SUM(E6:E8)</f>
        <v>7350490.4761904757</v>
      </c>
      <c r="F5" s="571">
        <f>SUM(F6:F8)</f>
        <v>3649984.7619047621</v>
      </c>
      <c r="G5" s="572">
        <f>SUM(G6:G8)</f>
        <v>0</v>
      </c>
      <c r="H5" s="571">
        <f>SUM(H6:H8)</f>
        <v>0</v>
      </c>
      <c r="I5" s="573">
        <f>SUM(D5:H5)</f>
        <v>18570446.666666664</v>
      </c>
      <c r="M5" s="380"/>
      <c r="N5" s="381" t="s">
        <v>233</v>
      </c>
      <c r="O5" s="382"/>
      <c r="P5" s="571">
        <f>SUM(P6:P8)</f>
        <v>7623980</v>
      </c>
      <c r="Q5" s="571">
        <f>SUM(Q6:Q8)</f>
        <v>7369100</v>
      </c>
      <c r="R5" s="571">
        <f>SUM(R6:R8)</f>
        <v>3718200</v>
      </c>
      <c r="S5" s="572">
        <f>SUM(S6:S8)</f>
        <v>0</v>
      </c>
      <c r="T5" s="571">
        <f>SUM(T6+T7)</f>
        <v>0</v>
      </c>
      <c r="U5" s="573">
        <f>SUM(P5:T5)</f>
        <v>18711280</v>
      </c>
    </row>
    <row r="6" spans="1:21" x14ac:dyDescent="0.25">
      <c r="A6" s="383"/>
      <c r="B6" s="384"/>
      <c r="C6" s="385" t="s">
        <v>111</v>
      </c>
      <c r="D6" s="574">
        <f>('TCO TO BE- SW'!F26+NPV(Faktory!$D$5,'TCO TO BE- SW'!F27:F35)+'TCO TO BE- SW'!F36+NPV(Faktory!$D$5,'TCO TO BE- SW'!F37:F45)+'TCO TO BE- SW'!F46+NPV(Faktory!$D$5,'TCO TO BE- SW'!F47:F55))</f>
        <v>6169971.4285714282</v>
      </c>
      <c r="E6" s="574">
        <f>('TCO TO BE- SW'!G26+NPV(Faktory!$D$5,'TCO TO BE- SW'!G27:G35)+'TCO TO BE- SW'!G36+NPV(Faktory!$D$5,'TCO TO BE- SW'!G37:G45)+'TCO TO BE- SW'!G46+NPV(Faktory!$D$5,'TCO TO BE- SW'!G47:G55))</f>
        <v>1150490.4761904762</v>
      </c>
      <c r="F6" s="574">
        <f>('TCO TO BE- SW'!H26+NPV(Faktory!$D$5,'TCO TO BE- SW'!H27:H35)+'TCO TO BE- SW'!H36+NPV(Faktory!$D$5,'TCO TO BE- SW'!H37:H45)+'TCO TO BE- SW'!H46+NPV(Faktory!$D$5,'TCO TO BE- SW'!H47:H55))</f>
        <v>2649984.7619047621</v>
      </c>
      <c r="G6" s="574">
        <f>('TCO TO BE- SW'!I26+NPV(Faktory!$D$5,'TCO TO BE- SW'!I27:I35)+'TCO TO BE- SW'!I36+NPV(Faktory!$D$5,'TCO TO BE- SW'!I37:I45)+'TCO TO BE- SW'!I46+NPV(Faktory!$D$5,'TCO TO BE- SW'!I47:I55))</f>
        <v>0</v>
      </c>
      <c r="H6" s="574">
        <f>('TCO TO BE- SW'!J26+NPV(Faktory!$D$5,'TCO TO BE- SW'!J27:J35)+'TCO TO BE- SW'!J36+NPV(Faktory!$D$5,'TCO TO BE- SW'!J37:J45)+'TCO TO BE- SW'!J46+NPV(Faktory!$D$5,'TCO TO BE- SW'!J47:J55))</f>
        <v>0</v>
      </c>
      <c r="I6" s="576">
        <f>SUM(D6:H6)</f>
        <v>9970446.6666666679</v>
      </c>
      <c r="M6" s="383"/>
      <c r="N6" s="384"/>
      <c r="O6" s="385" t="s">
        <v>111</v>
      </c>
      <c r="P6" s="574">
        <f>'TCO TO BE- SW'!F25</f>
        <v>6223980</v>
      </c>
      <c r="Q6" s="574">
        <f>'TCO TO BE- SW'!G25</f>
        <v>1169100</v>
      </c>
      <c r="R6" s="574">
        <f>'TCO TO BE- SW'!H25</f>
        <v>2718200</v>
      </c>
      <c r="S6" s="574">
        <f>'TCO TO BE- SW'!I25</f>
        <v>0</v>
      </c>
      <c r="T6" s="574">
        <f>'TCO TO BE- SW'!J25</f>
        <v>0</v>
      </c>
      <c r="U6" s="576">
        <f>SUM(P6:T6)</f>
        <v>10111280</v>
      </c>
    </row>
    <row r="7" spans="1:21" x14ac:dyDescent="0.25">
      <c r="A7" s="383"/>
      <c r="B7" s="384"/>
      <c r="C7" s="385" t="s">
        <v>69</v>
      </c>
      <c r="D7" s="574">
        <f>('TCO TO BE- SW'!F5+NPV(Faktory!$D$5,'TCO TO BE- SW'!F6:F14)+'TCO TO BE- SW'!F15+NPV(Faktory!$D$5,'TCO TO BE- SW'!F16:F24))</f>
        <v>0</v>
      </c>
      <c r="E7" s="574">
        <f>('TCO TO BE- SW'!G5+NPV(Faktory!$D$5,'TCO TO BE- SW'!G6:G14)+'TCO TO BE- SW'!G15+NPV(Faktory!$D$5,'TCO TO BE- SW'!G16:G24))</f>
        <v>0</v>
      </c>
      <c r="F7" s="574">
        <f>('TCO TO BE- SW'!H5+NPV(Faktory!$D$5,'TCO TO BE- SW'!H6:H14)+'TCO TO BE- SW'!H15+NPV(Faktory!$D$5,'TCO TO BE- SW'!H16:H24))</f>
        <v>0</v>
      </c>
      <c r="G7" s="574">
        <f>('TCO TO BE- SW'!I5+NPV(Faktory!$D$5,'TCO TO BE- SW'!I6:I14)+'TCO TO BE- SW'!I15+NPV(Faktory!$D$5,'TCO TO BE- SW'!I16:I24))</f>
        <v>0</v>
      </c>
      <c r="H7" s="574">
        <f>('TCO TO BE- SW'!J5+NPV(Faktory!$D$5,'TCO TO BE- SW'!J6:J14)+'TCO TO BE- SW'!J15+NPV(Faktory!$D$5,'TCO TO BE- SW'!J16:J24))</f>
        <v>0</v>
      </c>
      <c r="I7" s="576">
        <f>SUM(D7:H7)</f>
        <v>0</v>
      </c>
      <c r="M7" s="383"/>
      <c r="N7" s="384"/>
      <c r="O7" s="385" t="s">
        <v>69</v>
      </c>
      <c r="P7" s="574">
        <f>'TCO TO BE- SW'!F4</f>
        <v>0</v>
      </c>
      <c r="Q7" s="574">
        <f>'TCO TO BE- SW'!G4</f>
        <v>0</v>
      </c>
      <c r="R7" s="574">
        <f>'TCO TO BE- SW'!H4</f>
        <v>0</v>
      </c>
      <c r="S7" s="574">
        <f>'TCO TO BE- SW'!I4</f>
        <v>0</v>
      </c>
      <c r="T7" s="574">
        <f>'TCO TO BE- SW'!J4</f>
        <v>0</v>
      </c>
      <c r="U7" s="576">
        <f>SUM(P7:T7)</f>
        <v>0</v>
      </c>
    </row>
    <row r="8" spans="1:21" x14ac:dyDescent="0.25">
      <c r="A8" s="383"/>
      <c r="B8" s="384"/>
      <c r="C8" s="385" t="s">
        <v>68</v>
      </c>
      <c r="D8" s="574">
        <f>('TCO TO BE - HW'!F4+NPV(Faktory!$D$5,'TCO TO BE - HW'!F5:F13)+'TCO TO BE - HW'!F14+NPV(Faktory!$D$5,'TCO TO BE - HW'!F15:F23)+'TCO TO BE - HW'!F24+NPV(Faktory!$D$5,'TCO TO BE - HW'!F25:F33))</f>
        <v>1400000</v>
      </c>
      <c r="E8" s="574">
        <f>('TCO TO BE - HW'!G4+NPV(Faktory!$D$5,'TCO TO BE - HW'!G5:G13)+'TCO TO BE - HW'!G14+NPV(Faktory!$D$5,'TCO TO BE - HW'!G15:G23)+'TCO TO BE - HW'!G24+NPV(Faktory!$D$5,'TCO TO BE - HW'!G25:G33))</f>
        <v>6200000</v>
      </c>
      <c r="F8" s="574">
        <f>('TCO TO BE - HW'!H4+NPV(Faktory!$D$5,'TCO TO BE - HW'!H5:H13)+'TCO TO BE - HW'!H14+NPV(Faktory!$D$5,'TCO TO BE - HW'!H15:H23)+'TCO TO BE - HW'!H24+NPV(Faktory!$D$5,'TCO TO BE - HW'!H25:H33))</f>
        <v>1000000</v>
      </c>
      <c r="G8" s="574">
        <f>('TCO TO BE - HW'!I4+NPV(Faktory!$D$5,'TCO TO BE - HW'!I5:I13)+'TCO TO BE - HW'!I14+NPV(Faktory!$D$5,'TCO TO BE - HW'!I15:I23)+'TCO TO BE - HW'!I24+NPV(Faktory!$D$5,'TCO TO BE - HW'!I25:I33))</f>
        <v>0</v>
      </c>
      <c r="H8" s="577" t="s">
        <v>235</v>
      </c>
      <c r="I8" s="576">
        <f t="shared" ref="I8:I17" si="0">SUM(D8:G8)</f>
        <v>8600000</v>
      </c>
      <c r="M8" s="383"/>
      <c r="N8" s="384"/>
      <c r="O8" s="385" t="s">
        <v>68</v>
      </c>
      <c r="P8" s="574">
        <f>'TCO TO BE - HW'!F3</f>
        <v>1400000</v>
      </c>
      <c r="Q8" s="574">
        <f>'TCO TO BE - HW'!G3</f>
        <v>6200000</v>
      </c>
      <c r="R8" s="574">
        <f>'TCO TO BE - HW'!H3</f>
        <v>1000000</v>
      </c>
      <c r="S8" s="574">
        <f>'TCO TO BE - HW'!I3</f>
        <v>0</v>
      </c>
      <c r="T8" s="577" t="s">
        <v>235</v>
      </c>
      <c r="U8" s="576">
        <f t="shared" ref="U8:U23" si="1">SUM(P8:S8)</f>
        <v>8600000</v>
      </c>
    </row>
    <row r="9" spans="1:21" x14ac:dyDescent="0.25">
      <c r="A9" s="380"/>
      <c r="B9" s="381" t="s">
        <v>234</v>
      </c>
      <c r="C9" s="382"/>
      <c r="D9" s="571">
        <f>SUM(D10:D12)</f>
        <v>23056885.465602197</v>
      </c>
      <c r="E9" s="571">
        <f>SUM(E10:E12)</f>
        <v>11734352.572338119</v>
      </c>
      <c r="F9" s="571">
        <f>SUM(F10:F12)</f>
        <v>80343518.172795042</v>
      </c>
      <c r="G9" s="572">
        <f>SUM(G10:G12)</f>
        <v>0</v>
      </c>
      <c r="H9" s="571">
        <f>SUM(H10:H12)</f>
        <v>0</v>
      </c>
      <c r="I9" s="573">
        <f>SUM(D9:H9)</f>
        <v>115134756.21073535</v>
      </c>
      <c r="M9" s="380"/>
      <c r="N9" s="381" t="s">
        <v>234</v>
      </c>
      <c r="O9" s="382"/>
      <c r="P9" s="571">
        <f>SUM(P10:P12)</f>
        <v>29500000</v>
      </c>
      <c r="Q9" s="571">
        <f>SUM(Q10:Q12)</f>
        <v>15310000</v>
      </c>
      <c r="R9" s="571">
        <f>SUM(R10:R12)</f>
        <v>98789776</v>
      </c>
      <c r="S9" s="572">
        <f>SUM(S10:S12)</f>
        <v>0</v>
      </c>
      <c r="T9" s="571">
        <f>SUM(T10+T11)</f>
        <v>0</v>
      </c>
      <c r="U9" s="573">
        <f>SUM(P9:T9)</f>
        <v>143599776</v>
      </c>
    </row>
    <row r="10" spans="1:21" x14ac:dyDescent="0.25">
      <c r="A10" s="383"/>
      <c r="B10" s="384"/>
      <c r="C10" s="385" t="s">
        <v>111</v>
      </c>
      <c r="D10" s="574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5693782.6690183673</v>
      </c>
      <c r="E10" s="574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1046424.9229547267</v>
      </c>
      <c r="F10" s="574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17960145.240237132</v>
      </c>
      <c r="G10" s="574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0</v>
      </c>
      <c r="H10" s="574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I10" s="576">
        <f>SUM(D10:H10)</f>
        <v>24700352.832210228</v>
      </c>
      <c r="M10" s="383"/>
      <c r="N10" s="384"/>
      <c r="O10" s="385" t="s">
        <v>111</v>
      </c>
      <c r="P10" s="574">
        <f>'TCO TO BE- SW'!F78</f>
        <v>7400000</v>
      </c>
      <c r="Q10" s="574">
        <f>'TCO TO BE- SW'!G78</f>
        <v>1360000</v>
      </c>
      <c r="R10" s="574">
        <f>'TCO TO BE- SW'!H78</f>
        <v>22539776</v>
      </c>
      <c r="S10" s="574">
        <f>'TCO TO BE- SW'!I78</f>
        <v>0</v>
      </c>
      <c r="T10" s="574">
        <f>'TCO TO BE- SW'!J78</f>
        <v>0</v>
      </c>
      <c r="U10" s="576">
        <f>SUM(P10:T10)</f>
        <v>31299776</v>
      </c>
    </row>
    <row r="11" spans="1:21" x14ac:dyDescent="0.25">
      <c r="A11" s="383"/>
      <c r="B11" s="384"/>
      <c r="C11" s="385" t="s">
        <v>69</v>
      </c>
      <c r="D11" s="574">
        <f>('TCO TO BE- SW'!F58+NPV(Faktory!$D$5,'TCO TO BE- SW'!F59:F67)+'TCO TO BE- SW'!F68+NPV(Faktory!$D$5,'TCO TO BE- SW'!F69:F77))</f>
        <v>0</v>
      </c>
      <c r="E11" s="574">
        <f>('TCO TO BE- SW'!G58+NPV(Faktory!$D$5,'TCO TO BE- SW'!G59:G67)+'TCO TO BE- SW'!G68+NPV(Faktory!$D$5,'TCO TO BE- SW'!G69:G77))</f>
        <v>0</v>
      </c>
      <c r="F11" s="574">
        <f>('TCO TO BE- SW'!H58+NPV(Faktory!$D$5,'TCO TO BE- SW'!H59:H67)+'TCO TO BE- SW'!H68+NPV(Faktory!$D$5,'TCO TO BE- SW'!H69:H77))</f>
        <v>60659513.634270273</v>
      </c>
      <c r="G11" s="574">
        <f>('TCO TO BE- SW'!I58+NPV(Faktory!$D$5,'TCO TO BE- SW'!I59:I67)+'TCO TO BE- SW'!I68+NPV(Faktory!$D$5,'TCO TO BE- SW'!I69:I77))</f>
        <v>0</v>
      </c>
      <c r="H11" s="574">
        <f>('TCO TO BE- SW'!J58+NPV(Faktory!$D$5,'TCO TO BE- SW'!J59:J67)+'TCO TO BE- SW'!J68+NPV(Faktory!$D$5,'TCO TO BE- SW'!J69:J77))</f>
        <v>0</v>
      </c>
      <c r="I11" s="576">
        <f>SUM(D11:H11)</f>
        <v>60659513.634270273</v>
      </c>
      <c r="M11" s="383"/>
      <c r="N11" s="384"/>
      <c r="O11" s="385" t="s">
        <v>69</v>
      </c>
      <c r="P11" s="574">
        <f>'TCO TO BE- SW'!F57</f>
        <v>0</v>
      </c>
      <c r="Q11" s="574">
        <f>'TCO TO BE- SW'!G57</f>
        <v>0</v>
      </c>
      <c r="R11" s="574">
        <f>'TCO TO BE- SW'!H57</f>
        <v>74000000</v>
      </c>
      <c r="S11" s="574">
        <f>'TCO TO BE- SW'!I57</f>
        <v>0</v>
      </c>
      <c r="T11" s="574">
        <f>'TCO TO BE- SW'!J57</f>
        <v>0</v>
      </c>
      <c r="U11" s="576">
        <f>SUM(P11:T11)</f>
        <v>74000000</v>
      </c>
    </row>
    <row r="12" spans="1:21" x14ac:dyDescent="0.25">
      <c r="A12" s="383"/>
      <c r="B12" s="384"/>
      <c r="C12" s="385" t="s">
        <v>68</v>
      </c>
      <c r="D12" s="574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17363102.796583831</v>
      </c>
      <c r="E12" s="574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10687927.649383392</v>
      </c>
      <c r="F12" s="574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1723859.2982876436</v>
      </c>
      <c r="G12" s="574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577" t="s">
        <v>235</v>
      </c>
      <c r="I12" s="576">
        <f t="shared" si="0"/>
        <v>29774889.744254868</v>
      </c>
      <c r="M12" s="383"/>
      <c r="N12" s="384"/>
      <c r="O12" s="385" t="s">
        <v>68</v>
      </c>
      <c r="P12" s="574">
        <f>'TCO TO BE - HW'!F34</f>
        <v>22100000</v>
      </c>
      <c r="Q12" s="574">
        <f>'TCO TO BE - HW'!G34</f>
        <v>13950000</v>
      </c>
      <c r="R12" s="574">
        <f>'TCO TO BE - HW'!H34</f>
        <v>2250000</v>
      </c>
      <c r="S12" s="574">
        <f>'TCO TO BE - HW'!I34</f>
        <v>0</v>
      </c>
      <c r="T12" s="577" t="s">
        <v>235</v>
      </c>
      <c r="U12" s="576">
        <f t="shared" si="1"/>
        <v>38300000</v>
      </c>
    </row>
    <row r="13" spans="1:21" x14ac:dyDescent="0.25">
      <c r="A13" s="383"/>
      <c r="B13" s="381" t="s">
        <v>336</v>
      </c>
      <c r="C13" s="382"/>
      <c r="D13" s="649">
        <f>'TCO TO BE- SW'!F130+NPV(0.05,'TCO TO BE- SW'!F131:F139)+'TCO TO BE- SW'!F140+NPV(0.05,'TCO TO BE- SW'!F141:F149)</f>
        <v>0</v>
      </c>
      <c r="E13" s="649">
        <f>'TCO TO BE- SW'!G130+NPV(0.05,'TCO TO BE- SW'!G131:G139)+'TCO TO BE- SW'!G140+NPV(0.05,'TCO TO BE- SW'!G141:G149)</f>
        <v>0</v>
      </c>
      <c r="F13" s="649">
        <f>'TCO TO BE- SW'!H130+NPV(0.05,'TCO TO BE- SW'!H131:H139)+'TCO TO BE- SW'!H140+NPV(0.05,'TCO TO BE- SW'!H141:H149)</f>
        <v>0</v>
      </c>
      <c r="G13" s="650">
        <f>'TCO TO BE- SW'!I130+NPV(0.05,'TCO TO BE- SW'!I131:I139)+'TCO TO BE- SW'!I140+NPV(0.05,'TCO TO BE- SW'!I141:I149)</f>
        <v>0</v>
      </c>
      <c r="H13" s="649">
        <f>'TCO TO BE- SW'!J130+NPV(0.05,'TCO TO BE- SW'!J131:J139)+'TCO TO BE- SW'!J140+NPV(0.05,'TCO TO BE- SW'!J141:J149)</f>
        <v>0</v>
      </c>
      <c r="I13" s="573">
        <f>SUM(D13:H13)</f>
        <v>0</v>
      </c>
      <c r="M13" s="383"/>
      <c r="N13" s="381" t="s">
        <v>336</v>
      </c>
      <c r="O13" s="382"/>
      <c r="P13" s="649">
        <f>'TCO TO BE- SW'!F129</f>
        <v>0</v>
      </c>
      <c r="Q13" s="649">
        <f>'TCO TO BE- SW'!G129</f>
        <v>0</v>
      </c>
      <c r="R13" s="649">
        <f>'TCO TO BE- SW'!H129</f>
        <v>0</v>
      </c>
      <c r="S13" s="650">
        <f>'TCO TO BE- SW'!I129</f>
        <v>0</v>
      </c>
      <c r="T13" s="649">
        <f>'TCO TO BE- SW'!J129</f>
        <v>0</v>
      </c>
      <c r="U13" s="573">
        <f>SUM(P13:T13)</f>
        <v>0</v>
      </c>
    </row>
    <row r="14" spans="1:21" x14ac:dyDescent="0.25">
      <c r="A14" s="383"/>
      <c r="B14" s="381" t="s">
        <v>369</v>
      </c>
      <c r="C14" s="382"/>
      <c r="D14" s="649">
        <f>'TCO TO BE- SW'!F151+NPV(0.05,'TCO TO BE- SW'!F152:F160)+'TCO TO BE- SW'!F161+NPV(0.05,'TCO TO BE- SW'!F162:F170)</f>
        <v>0</v>
      </c>
      <c r="E14" s="649">
        <f>'TCO TO BE- SW'!G151+NPV(0.05,'TCO TO BE- SW'!G152:G160)+'TCO TO BE- SW'!G161+NPV(0.05,'TCO TO BE- SW'!G162:G170)</f>
        <v>0</v>
      </c>
      <c r="F14" s="649">
        <f>'TCO TO BE- SW'!H151+NPV(0.05,'TCO TO BE- SW'!H152:H160)+'TCO TO BE- SW'!H161+NPV(0.05,'TCO TO BE- SW'!H162:H170)</f>
        <v>0</v>
      </c>
      <c r="G14" s="650">
        <f>'TCO TO BE- SW'!I151+NPV(0.05,'TCO TO BE- SW'!I152:I160)+'TCO TO BE- SW'!I161+NPV(0.05,'TCO TO BE- SW'!I162:I170)</f>
        <v>0</v>
      </c>
      <c r="H14" s="649">
        <f>'TCO TO BE- SW'!J151+NPV(0.05,'TCO TO BE- SW'!J152:J160)+'TCO TO BE- SW'!J161+NPV(0.05,'TCO TO BE- SW'!J162:J170)</f>
        <v>0</v>
      </c>
      <c r="I14" s="573">
        <f>SUM(D14:H14)</f>
        <v>0</v>
      </c>
      <c r="M14" s="383"/>
      <c r="N14" s="381" t="s">
        <v>369</v>
      </c>
      <c r="O14" s="382"/>
      <c r="P14" s="649">
        <f>'TCO TO BE- SW'!F150</f>
        <v>0</v>
      </c>
      <c r="Q14" s="649">
        <f>'TCO TO BE- SW'!G150</f>
        <v>0</v>
      </c>
      <c r="R14" s="649">
        <f>'TCO TO BE- SW'!H150</f>
        <v>0</v>
      </c>
      <c r="S14" s="650">
        <f>'TCO TO BE- SW'!I150</f>
        <v>0</v>
      </c>
      <c r="T14" s="649">
        <f>'TCO TO BE- SW'!J150</f>
        <v>0</v>
      </c>
      <c r="U14" s="573">
        <f>SUM(P14:T14)</f>
        <v>0</v>
      </c>
    </row>
    <row r="15" spans="1:21" x14ac:dyDescent="0.25">
      <c r="A15" s="375" t="s">
        <v>228</v>
      </c>
      <c r="B15" s="376"/>
      <c r="C15" s="377"/>
      <c r="D15" s="568">
        <f>D16+D19</f>
        <v>14838144.117259117</v>
      </c>
      <c r="E15" s="568">
        <f>E16+E19</f>
        <v>9503538.2214407772</v>
      </c>
      <c r="F15" s="568">
        <f>F16+F19</f>
        <v>9217506.3022361305</v>
      </c>
      <c r="G15" s="569">
        <f>G16+G19</f>
        <v>129851.43536073512</v>
      </c>
      <c r="H15" s="648" t="s">
        <v>235</v>
      </c>
      <c r="I15" s="570">
        <f t="shared" si="0"/>
        <v>33689040.076296762</v>
      </c>
      <c r="M15" s="375" t="s">
        <v>228</v>
      </c>
      <c r="N15" s="376"/>
      <c r="O15" s="377"/>
      <c r="P15" s="378">
        <f>P16+P19</f>
        <v>20512000</v>
      </c>
      <c r="Q15" s="378">
        <f>Q16+Q19</f>
        <v>12796000</v>
      </c>
      <c r="R15" s="378">
        <f>R16+R19</f>
        <v>12704762.5</v>
      </c>
      <c r="S15" s="379">
        <f>S16+S19</f>
        <v>161466.12965517241</v>
      </c>
      <c r="T15" s="648" t="s">
        <v>235</v>
      </c>
      <c r="U15" s="547">
        <f t="shared" si="1"/>
        <v>46174228.629655175</v>
      </c>
    </row>
    <row r="16" spans="1:21" x14ac:dyDescent="0.25">
      <c r="A16" s="380"/>
      <c r="B16" s="381" t="s">
        <v>17</v>
      </c>
      <c r="C16" s="382"/>
      <c r="D16" s="571">
        <f>D17+D18</f>
        <v>-5211165.4070280474</v>
      </c>
      <c r="E16" s="571">
        <f>E17+E18</f>
        <v>-521116.54070280469</v>
      </c>
      <c r="F16" s="571">
        <f>F17+F18</f>
        <v>2561430.5766528235</v>
      </c>
      <c r="G16" s="572">
        <f>G17+G18</f>
        <v>-2013.4069791139227</v>
      </c>
      <c r="H16" s="646" t="s">
        <v>235</v>
      </c>
      <c r="I16" s="573">
        <f t="shared" si="0"/>
        <v>-3172864.7780571426</v>
      </c>
      <c r="M16" s="380"/>
      <c r="N16" s="381" t="s">
        <v>17</v>
      </c>
      <c r="O16" s="382"/>
      <c r="P16" s="571">
        <f>P17+P18</f>
        <v>-6350000</v>
      </c>
      <c r="Q16" s="571">
        <f>Q17+Q18</f>
        <v>-635000</v>
      </c>
      <c r="R16" s="571">
        <f>R17+R18</f>
        <v>3365500</v>
      </c>
      <c r="S16" s="572">
        <f>S17+S18</f>
        <v>-2400</v>
      </c>
      <c r="T16" s="646" t="s">
        <v>235</v>
      </c>
      <c r="U16" s="573">
        <f t="shared" si="1"/>
        <v>-3621900</v>
      </c>
    </row>
    <row r="17" spans="1:22" x14ac:dyDescent="0.25">
      <c r="A17" s="383"/>
      <c r="B17" s="384"/>
      <c r="C17" s="385" t="s">
        <v>47</v>
      </c>
      <c r="D17" s="574">
        <f>'Parametre - Agendové IS'!I117+NPV(Faktory!$D$3,'Parametre - Agendové IS'!I118:I126)</f>
        <v>-5211165.4070280474</v>
      </c>
      <c r="E17" s="574">
        <f>'Parametre - Agendové IS'!L117+NPV(Faktory!$D$3,'Parametre - Agendové IS'!L118:L126)</f>
        <v>-521116.54070280469</v>
      </c>
      <c r="F17" s="574">
        <f>'Parametre - Agendové IS'!O117+NPV(Faktory!$D$3,'Parametre - Agendové IS'!O118:O126)</f>
        <v>2561430.5766528235</v>
      </c>
      <c r="G17" s="575">
        <f>'Parametre - Agendové IS'!R117+NPV(Faktory!$D$3,'Parametre - Agendové IS'!R118:R126)</f>
        <v>-2013.4069791139227</v>
      </c>
      <c r="H17" s="577" t="s">
        <v>235</v>
      </c>
      <c r="I17" s="576">
        <f t="shared" si="0"/>
        <v>-3172864.7780571426</v>
      </c>
      <c r="M17" s="383"/>
      <c r="N17" s="384"/>
      <c r="O17" s="385" t="s">
        <v>47</v>
      </c>
      <c r="P17" s="574">
        <f>SUM('Parametre - Agendové IS'!I117:I126)</f>
        <v>-6350000</v>
      </c>
      <c r="Q17" s="574">
        <f>SUM('Parametre - Agendové IS'!L117:L126)</f>
        <v>-635000</v>
      </c>
      <c r="R17" s="574">
        <f>SUM('Parametre - Agendové IS'!O117:O126)</f>
        <v>3365500</v>
      </c>
      <c r="S17" s="575">
        <f>SUM('Parametre - Agendové IS'!R117:R126)</f>
        <v>-2400</v>
      </c>
      <c r="T17" s="577" t="s">
        <v>235</v>
      </c>
      <c r="U17" s="576">
        <f t="shared" si="1"/>
        <v>-3621900</v>
      </c>
    </row>
    <row r="18" spans="1:22" x14ac:dyDescent="0.25">
      <c r="A18" s="383"/>
      <c r="B18" s="384"/>
      <c r="C18" s="385" t="s">
        <v>48</v>
      </c>
      <c r="D18" s="574"/>
      <c r="E18" s="574"/>
      <c r="F18" s="574"/>
      <c r="G18" s="575"/>
      <c r="H18" s="577" t="s">
        <v>235</v>
      </c>
      <c r="I18" s="576">
        <f>'Prínosy - Agendové IS'!G15</f>
        <v>0</v>
      </c>
      <c r="J18" s="548"/>
      <c r="M18" s="383"/>
      <c r="N18" s="384"/>
      <c r="O18" s="385" t="s">
        <v>48</v>
      </c>
      <c r="P18" s="574"/>
      <c r="Q18" s="574"/>
      <c r="R18" s="574"/>
      <c r="S18" s="575"/>
      <c r="T18" s="577" t="s">
        <v>235</v>
      </c>
      <c r="U18" s="576">
        <f>'Prínosy - Agendové IS'!G14</f>
        <v>0</v>
      </c>
      <c r="V18" s="548"/>
    </row>
    <row r="19" spans="1:22" x14ac:dyDescent="0.25">
      <c r="A19" s="380"/>
      <c r="B19" s="381" t="s">
        <v>18</v>
      </c>
      <c r="C19" s="382"/>
      <c r="D19" s="571">
        <f>D20+D21+D23</f>
        <v>20049309.524287164</v>
      </c>
      <c r="E19" s="571">
        <f>E20+E21+E23</f>
        <v>10024654.762143582</v>
      </c>
      <c r="F19" s="571">
        <f>F20+F21+F23</f>
        <v>6656075.7255833074</v>
      </c>
      <c r="G19" s="572">
        <f>G20+G21+G23</f>
        <v>131864.84233984904</v>
      </c>
      <c r="H19" s="646" t="s">
        <v>235</v>
      </c>
      <c r="I19" s="573">
        <f>SUM(D19:G19)</f>
        <v>36861904.854353905</v>
      </c>
      <c r="M19" s="380"/>
      <c r="N19" s="381" t="s">
        <v>18</v>
      </c>
      <c r="O19" s="382"/>
      <c r="P19" s="571">
        <f>P20+P21+P23</f>
        <v>26862000</v>
      </c>
      <c r="Q19" s="571">
        <f>Q20+Q21+Q23</f>
        <v>13431000</v>
      </c>
      <c r="R19" s="571">
        <f>R20+R21+R23</f>
        <v>9339262.5</v>
      </c>
      <c r="S19" s="572">
        <f>S20+S21+S23</f>
        <v>163866.12965517241</v>
      </c>
      <c r="T19" s="646" t="s">
        <v>235</v>
      </c>
      <c r="U19" s="573">
        <f t="shared" si="1"/>
        <v>49796128.629655175</v>
      </c>
    </row>
    <row r="20" spans="1:22" x14ac:dyDescent="0.25">
      <c r="A20" s="383"/>
      <c r="B20" s="384"/>
      <c r="C20" s="385" t="s">
        <v>230</v>
      </c>
      <c r="D20" s="574">
        <f>'Parametre - Agendové IS'!I97+NPV(Faktory!$D$5,'Parametre - Agendové IS'!I98:I106)</f>
        <v>20049309.524287164</v>
      </c>
      <c r="E20" s="574">
        <f>'Parametre - Agendové IS'!L97+NPV(Faktory!$D$5,'Parametre - Agendové IS'!L98:L106)</f>
        <v>10024654.762143582</v>
      </c>
      <c r="F20" s="574">
        <f>'Parametre - Agendové IS'!O97+NPV(Faktory!$D$5,'Parametre - Agendové IS'!O98:O106)</f>
        <v>6656075.7255833074</v>
      </c>
      <c r="G20" s="575">
        <f>'Parametre - Agendové IS'!R97+NPV(Faktory!$D$5,'Parametre - Agendové IS'!R98:R106)</f>
        <v>0</v>
      </c>
      <c r="H20" s="577" t="s">
        <v>235</v>
      </c>
      <c r="I20" s="576">
        <f>SUM(D20:G20)</f>
        <v>36730040.012014054</v>
      </c>
      <c r="M20" s="383"/>
      <c r="N20" s="384"/>
      <c r="O20" s="385" t="s">
        <v>230</v>
      </c>
      <c r="P20" s="574">
        <f>SUM('Parametre - Agendové IS'!I97:I106)</f>
        <v>26862000</v>
      </c>
      <c r="Q20" s="574">
        <f>SUM('Parametre - Agendové IS'!L97:L106)</f>
        <v>13431000</v>
      </c>
      <c r="R20" s="574">
        <f>SUM('Parametre - Agendové IS'!O97:O106)</f>
        <v>9339262.5</v>
      </c>
      <c r="S20" s="575">
        <f>SUM('Parametre - Agendové IS'!R97:R106)</f>
        <v>0</v>
      </c>
      <c r="T20" s="577" t="s">
        <v>235</v>
      </c>
      <c r="U20" s="576">
        <f t="shared" si="1"/>
        <v>49632262.5</v>
      </c>
    </row>
    <row r="21" spans="1:22" x14ac:dyDescent="0.25">
      <c r="A21" s="383"/>
      <c r="B21" s="384"/>
      <c r="C21" s="385" t="s">
        <v>229</v>
      </c>
      <c r="D21" s="574">
        <f>-('Parametre - Agendové IS'!I77+NPV(Faktory!$D$5,'Parametre - Agendové IS'!I78:I86))</f>
        <v>0</v>
      </c>
      <c r="E21" s="574">
        <f>-('Parametre - Agendové IS'!L77+NPV(Faktory!$D$5,'Parametre - Agendové IS'!L78:L86))</f>
        <v>0</v>
      </c>
      <c r="F21" s="574">
        <f>-('Parametre - Agendové IS'!O77+NPV(Faktory!$D$5,'Parametre - Agendové IS'!O78:O86))</f>
        <v>0</v>
      </c>
      <c r="G21" s="575">
        <f>-('Parametre - Agendové IS'!R77+NPV(Faktory!$D$5,'Parametre - Agendové IS'!R78:R86))</f>
        <v>131864.84233984904</v>
      </c>
      <c r="H21" s="577" t="s">
        <v>235</v>
      </c>
      <c r="I21" s="576">
        <f>SUM(D21:G21)</f>
        <v>131864.84233984904</v>
      </c>
      <c r="M21" s="383"/>
      <c r="N21" s="384"/>
      <c r="O21" s="385" t="s">
        <v>229</v>
      </c>
      <c r="P21" s="574">
        <f>-(SUM('Parametre - Agendové IS'!I77:I86))</f>
        <v>0</v>
      </c>
      <c r="Q21" s="574">
        <f>-(SUM('Parametre - Agendové IS'!L77:L86))</f>
        <v>0</v>
      </c>
      <c r="R21" s="574">
        <f>-(SUM('Parametre - Agendové IS'!O77:O86))</f>
        <v>0</v>
      </c>
      <c r="S21" s="575">
        <f>-(SUM('Parametre - Agendové IS'!R77:R86))</f>
        <v>163866.12965517241</v>
      </c>
      <c r="T21" s="577" t="s">
        <v>235</v>
      </c>
      <c r="U21" s="576">
        <f t="shared" si="1"/>
        <v>163866.12965517241</v>
      </c>
    </row>
    <row r="22" spans="1:22" x14ac:dyDescent="0.25">
      <c r="A22" s="383"/>
      <c r="B22" s="384"/>
      <c r="C22" s="385" t="s">
        <v>231</v>
      </c>
      <c r="D22" s="577" t="s">
        <v>235</v>
      </c>
      <c r="E22" s="577" t="s">
        <v>235</v>
      </c>
      <c r="F22" s="577" t="s">
        <v>235</v>
      </c>
      <c r="G22" s="578" t="s">
        <v>235</v>
      </c>
      <c r="H22" s="577" t="s">
        <v>235</v>
      </c>
      <c r="I22" s="579" t="s">
        <v>235</v>
      </c>
      <c r="M22" s="383"/>
      <c r="N22" s="384"/>
      <c r="O22" s="385" t="s">
        <v>231</v>
      </c>
      <c r="P22" s="574">
        <f>SUM('Parametre - Agendové IS'!I87:I96)</f>
        <v>0</v>
      </c>
      <c r="Q22" s="574">
        <f>SUM('Parametre - Agendové IS'!L87:L96)</f>
        <v>0</v>
      </c>
      <c r="R22" s="574">
        <f>SUM('Parametre - Agendové IS'!O87:O96)</f>
        <v>0</v>
      </c>
      <c r="S22" s="575">
        <f>SUM('Parametre - Agendové IS'!R87:R96)</f>
        <v>-7.6190476190476186</v>
      </c>
      <c r="T22" s="577" t="s">
        <v>235</v>
      </c>
      <c r="U22" s="576">
        <f t="shared" si="1"/>
        <v>-7.6190476190476186</v>
      </c>
    </row>
    <row r="23" spans="1:22" ht="15.75" thickBot="1" x14ac:dyDescent="0.3">
      <c r="A23" s="386"/>
      <c r="B23" s="387"/>
      <c r="C23" s="388" t="s">
        <v>39</v>
      </c>
      <c r="D23" s="580">
        <f>'Parametre - Agendové IS'!I127+NPV(Faktory!$D$5,'Parametre - Agendové IS'!I128:I136)</f>
        <v>0</v>
      </c>
      <c r="E23" s="580">
        <f>'Parametre - Agendové IS'!L127+NPV(Faktory!$D$5,'Parametre - Agendové IS'!L128:L136)</f>
        <v>0</v>
      </c>
      <c r="F23" s="580">
        <f>'Parametre - Agendové IS'!O127+NPV(Faktory!$D$5,'Parametre - Agendové IS'!O128:O136)</f>
        <v>0</v>
      </c>
      <c r="G23" s="581">
        <f>'Parametre - Agendové IS'!R127+NPV(Faktory!$D$5,'Parametre - Agendové IS'!R128:R136)</f>
        <v>0</v>
      </c>
      <c r="H23" s="647" t="s">
        <v>235</v>
      </c>
      <c r="I23" s="582">
        <f>SUM(D23:G23)</f>
        <v>0</v>
      </c>
      <c r="M23" s="383"/>
      <c r="N23" s="384"/>
      <c r="O23" s="385" t="s">
        <v>39</v>
      </c>
      <c r="P23" s="574">
        <f>SUM('Parametre - Agendové IS'!I127:I136)</f>
        <v>0</v>
      </c>
      <c r="Q23" s="574">
        <f>SUM('Parametre - Agendové IS'!L127:L136)</f>
        <v>0</v>
      </c>
      <c r="R23" s="574">
        <f>SUM('Parametre - Agendové IS'!O127:O136)</f>
        <v>0</v>
      </c>
      <c r="S23" s="575">
        <f>SUM('Parametre - Agendové IS'!R127:R136)</f>
        <v>0</v>
      </c>
      <c r="T23" s="647" t="s">
        <v>235</v>
      </c>
      <c r="U23" s="583">
        <f t="shared" si="1"/>
        <v>0</v>
      </c>
    </row>
    <row r="24" spans="1:22" x14ac:dyDescent="0.25">
      <c r="A24" s="549"/>
      <c r="B24" s="381" t="s">
        <v>236</v>
      </c>
      <c r="C24" s="382"/>
      <c r="D24" s="644"/>
      <c r="E24" s="645"/>
      <c r="F24" s="645"/>
      <c r="G24" s="645"/>
      <c r="H24" s="651"/>
      <c r="I24" s="652"/>
      <c r="M24" s="549"/>
      <c r="N24" s="381" t="s">
        <v>236</v>
      </c>
      <c r="O24" s="382"/>
      <c r="P24" s="644"/>
      <c r="Q24" s="645"/>
      <c r="R24" s="645"/>
      <c r="S24" s="645"/>
      <c r="T24" s="651"/>
      <c r="U24" s="652"/>
    </row>
    <row r="25" spans="1:22" x14ac:dyDescent="0.25">
      <c r="A25" s="550"/>
      <c r="B25" s="551"/>
      <c r="C25" s="552" t="s">
        <v>240</v>
      </c>
      <c r="D25" s="553"/>
      <c r="E25" s="553"/>
      <c r="F25" s="553"/>
      <c r="G25" s="553"/>
      <c r="H25" s="553"/>
      <c r="I25" s="553"/>
      <c r="M25" s="550"/>
      <c r="N25" s="551"/>
      <c r="O25" s="552" t="s">
        <v>240</v>
      </c>
      <c r="P25" s="553"/>
      <c r="Q25" s="553"/>
      <c r="R25" s="553"/>
      <c r="S25" s="553"/>
      <c r="T25" s="553"/>
      <c r="U25" s="553"/>
    </row>
    <row r="26" spans="1:22" x14ac:dyDescent="0.25">
      <c r="A26" s="550"/>
      <c r="B26" s="551"/>
      <c r="C26" s="554" t="s">
        <v>237</v>
      </c>
      <c r="D26" s="553"/>
      <c r="E26" s="553"/>
      <c r="F26" s="553"/>
      <c r="G26" s="553"/>
      <c r="H26" s="553"/>
      <c r="I26" s="553"/>
      <c r="M26" s="550"/>
      <c r="N26" s="551"/>
      <c r="O26" s="554" t="s">
        <v>237</v>
      </c>
      <c r="P26" s="553"/>
      <c r="Q26" s="553"/>
      <c r="R26" s="553"/>
      <c r="S26" s="553"/>
      <c r="T26" s="553"/>
      <c r="U26" s="553"/>
    </row>
    <row r="27" spans="1:22" x14ac:dyDescent="0.25">
      <c r="A27" s="550"/>
      <c r="B27" s="551"/>
      <c r="C27" s="554" t="s">
        <v>237</v>
      </c>
      <c r="D27" s="553"/>
      <c r="E27" s="553"/>
      <c r="F27" s="553"/>
      <c r="G27" s="553"/>
      <c r="H27" s="553"/>
      <c r="I27" s="553"/>
      <c r="M27" s="550"/>
      <c r="N27" s="551"/>
      <c r="O27" s="554" t="s">
        <v>237</v>
      </c>
      <c r="P27" s="553"/>
      <c r="Q27" s="553"/>
      <c r="R27" s="553"/>
      <c r="S27" s="553"/>
      <c r="T27" s="553"/>
      <c r="U27" s="553"/>
    </row>
    <row r="28" spans="1:22" x14ac:dyDescent="0.25">
      <c r="C28" s="555"/>
      <c r="O28" s="555"/>
    </row>
    <row r="29" spans="1:22" x14ac:dyDescent="0.25">
      <c r="C29" s="555"/>
      <c r="O29" s="555"/>
    </row>
    <row r="30" spans="1:22" x14ac:dyDescent="0.25">
      <c r="C30" s="555"/>
    </row>
    <row r="32" spans="1:22" x14ac:dyDescent="0.25">
      <c r="L32" s="556"/>
      <c r="M32" s="556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" right="0.7" top="0.75" bottom="0.75" header="0.3" footer="0.3"/>
  <pageSetup paperSize="9" scale="53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view="pageBreakPreview" zoomScale="60" zoomScaleNormal="100" workbookViewId="0">
      <selection activeCell="C4" sqref="C4"/>
    </sheetView>
  </sheetViews>
  <sheetFormatPr defaultColWidth="8.85546875" defaultRowHeight="15" x14ac:dyDescent="0.25"/>
  <cols>
    <col min="1" max="1" width="9.28515625" customWidth="1"/>
    <col min="2" max="2" width="15" customWidth="1"/>
    <col min="3" max="3" width="15.140625" customWidth="1"/>
    <col min="4" max="4" width="14.140625" customWidth="1"/>
    <col min="5" max="5" width="14.42578125" customWidth="1"/>
    <col min="6" max="6" width="15.140625" customWidth="1"/>
    <col min="7" max="7" width="13.7109375" customWidth="1"/>
    <col min="8" max="8" width="9.85546875" customWidth="1"/>
    <col min="9" max="9" width="22.7109375" customWidth="1"/>
    <col min="10" max="10" width="22.140625" customWidth="1"/>
    <col min="11" max="11" width="20.42578125" customWidth="1"/>
    <col min="12" max="12" width="23.140625" customWidth="1"/>
  </cols>
  <sheetData>
    <row r="1" spans="1:12" ht="15.75" thickBot="1" x14ac:dyDescent="0.3">
      <c r="A1" s="9"/>
      <c r="B1" s="694" t="s">
        <v>36</v>
      </c>
      <c r="C1" s="695"/>
      <c r="D1" s="695"/>
      <c r="E1" s="695"/>
      <c r="F1" s="695"/>
      <c r="G1" s="696"/>
      <c r="H1" s="697" t="s">
        <v>16</v>
      </c>
      <c r="I1" s="698"/>
      <c r="J1" s="698"/>
      <c r="K1" s="698"/>
      <c r="L1" s="699"/>
    </row>
    <row r="2" spans="1:12" ht="30" x14ac:dyDescent="0.25">
      <c r="A2" s="10"/>
      <c r="B2" s="697" t="s">
        <v>385</v>
      </c>
      <c r="C2" s="698"/>
      <c r="D2" s="699"/>
      <c r="E2" s="697" t="s">
        <v>386</v>
      </c>
      <c r="F2" s="698"/>
      <c r="G2" s="699"/>
      <c r="H2" s="55" t="s">
        <v>19</v>
      </c>
      <c r="I2" s="50" t="s">
        <v>20</v>
      </c>
      <c r="J2" s="12" t="s">
        <v>21</v>
      </c>
      <c r="K2" s="700" t="s">
        <v>22</v>
      </c>
      <c r="L2" s="701"/>
    </row>
    <row r="3" spans="1:12" ht="15.75" thickBot="1" x14ac:dyDescent="0.3">
      <c r="A3" s="11" t="s">
        <v>23</v>
      </c>
      <c r="B3" s="14" t="s">
        <v>243</v>
      </c>
      <c r="C3" s="15" t="s">
        <v>180</v>
      </c>
      <c r="D3" s="16" t="s">
        <v>24</v>
      </c>
      <c r="E3" s="14" t="s">
        <v>243</v>
      </c>
      <c r="F3" s="15" t="s">
        <v>180</v>
      </c>
      <c r="G3" s="16" t="s">
        <v>24</v>
      </c>
      <c r="H3" s="56"/>
      <c r="I3" s="51"/>
      <c r="J3" s="13"/>
      <c r="K3" s="692"/>
      <c r="L3" s="693"/>
    </row>
    <row r="4" spans="1:12" x14ac:dyDescent="0.25">
      <c r="A4" s="49" t="s">
        <v>25</v>
      </c>
      <c r="B4" s="27">
        <f>'Prínosy - Agendové IS'!Q4-'Výdavky - Agendové IS'!T4</f>
        <v>242110</v>
      </c>
      <c r="C4" s="26">
        <f>'Prínosy - Agendové IS'!R4-'Výdavky - Agendové IS'!U4</f>
        <v>-27304614</v>
      </c>
      <c r="D4" s="34">
        <f>C4-B4</f>
        <v>-27546724</v>
      </c>
      <c r="E4" s="27">
        <f>'Prínosy - Agendové IS'!T4-('Výdavky - Agendové IS'!T4/1.2)</f>
        <v>-1689306.2950191572</v>
      </c>
      <c r="F4" s="27">
        <f>'Prínosy - Agendové IS'!U4-('Výdavky - Agendové IS'!U4/1.2)</f>
        <v>-24644909.628352493</v>
      </c>
      <c r="G4" s="34">
        <f t="shared" ref="G4:G13" si="0">F4-E4</f>
        <v>-22955603.333333336</v>
      </c>
      <c r="H4" s="57">
        <v>0</v>
      </c>
      <c r="I4" s="52">
        <f>D4*(1/(1+Faktory!$D$3)^H4)</f>
        <v>-27546724</v>
      </c>
      <c r="J4" s="59">
        <f>G4*(1/(1+Faktory!$D$5)^H4)</f>
        <v>-22955603.333333336</v>
      </c>
      <c r="K4" s="58">
        <f>J4</f>
        <v>-22955603.333333336</v>
      </c>
      <c r="L4" s="31" t="str">
        <f>IF(K4&gt;0,"Rok návratu investície","&lt;")</f>
        <v>&lt;</v>
      </c>
    </row>
    <row r="5" spans="1:12" x14ac:dyDescent="0.25">
      <c r="A5" s="33" t="s">
        <v>26</v>
      </c>
      <c r="B5" s="27">
        <f>'Prínosy - Agendové IS'!Q5-'Výdavky - Agendové IS'!T5</f>
        <v>302632</v>
      </c>
      <c r="C5" s="26">
        <f>'Prínosy - Agendové IS'!R5-'Výdavky - Agendové IS'!U5</f>
        <v>-15491512</v>
      </c>
      <c r="D5" s="29">
        <f t="shared" ref="D5:D13" si="1">C5-B5</f>
        <v>-15794144</v>
      </c>
      <c r="E5" s="27">
        <f>'Prínosy - Agendové IS'!T5-('Výdavky - Agendové IS'!T5/1.2)</f>
        <v>-2108750.8873563218</v>
      </c>
      <c r="F5" s="27">
        <f>'Prínosy - Agendové IS'!U5-('Výdavky - Agendové IS'!U5/1.2)</f>
        <v>-15545537.554022988</v>
      </c>
      <c r="G5" s="29">
        <f t="shared" si="0"/>
        <v>-13436786.666666666</v>
      </c>
      <c r="H5" s="57">
        <v>1</v>
      </c>
      <c r="I5" s="53">
        <f>D5*(1/(1+Faktory!$D$3)^H5)</f>
        <v>-15186676.923076922</v>
      </c>
      <c r="J5" s="60">
        <f>G5*(1/(1+Faktory!$D$5)^H5)</f>
        <v>-12796939.682539681</v>
      </c>
      <c r="K5" s="58">
        <f>J5+K4</f>
        <v>-35752543.015873015</v>
      </c>
      <c r="L5" s="31" t="str">
        <f>IF(L4="&lt;",IF(K5&gt;0,"Rok návratu investície","&lt;"),"&gt;")</f>
        <v>&lt;</v>
      </c>
    </row>
    <row r="6" spans="1:12" x14ac:dyDescent="0.25">
      <c r="A6" s="33" t="s">
        <v>27</v>
      </c>
      <c r="B6" s="27">
        <f>'Prínosy - Agendové IS'!Q6-'Výdavky - Agendové IS'!T6</f>
        <v>363132</v>
      </c>
      <c r="C6" s="26">
        <f>'Prínosy - Agendové IS'!R6-'Výdavky - Agendové IS'!U6</f>
        <v>-11642376</v>
      </c>
      <c r="D6" s="29">
        <f t="shared" si="1"/>
        <v>-12005508</v>
      </c>
      <c r="E6" s="27">
        <f>'Prínosy - Agendové IS'!T6-('Výdavky - Agendové IS'!T6/1.2)</f>
        <v>-2516667.5540229883</v>
      </c>
      <c r="F6" s="27">
        <f>'Prínosy - Agendové IS'!U6-('Výdavky - Agendové IS'!U6/1.2)</f>
        <v>-8457145.1882758625</v>
      </c>
      <c r="G6" s="29">
        <f t="shared" si="0"/>
        <v>-5940477.6342528742</v>
      </c>
      <c r="H6" s="57">
        <v>2</v>
      </c>
      <c r="I6" s="53">
        <f>D6*(1/(1+Faktory!$D$3)^H6)</f>
        <v>-11099767.011834318</v>
      </c>
      <c r="J6" s="60">
        <f>G6*(1/(1+Faktory!$D$5)^H6)</f>
        <v>-5388188.3303880943</v>
      </c>
      <c r="K6" s="58">
        <f t="shared" ref="K6:K13" si="2">J6+K5</f>
        <v>-41140731.346261106</v>
      </c>
      <c r="L6" s="31" t="str">
        <f t="shared" ref="L6:L13" si="3">IF(L5="&lt;",IF(K6&gt;0,"Rok návratu investície","&lt;"),"&gt;")</f>
        <v>&lt;</v>
      </c>
    </row>
    <row r="7" spans="1:12" x14ac:dyDescent="0.25">
      <c r="A7" s="33" t="s">
        <v>28</v>
      </c>
      <c r="B7" s="27">
        <f>'Prínosy - Agendové IS'!Q7-'Výdavky - Agendové IS'!T7</f>
        <v>423599</v>
      </c>
      <c r="C7" s="26">
        <f>'Prínosy - Agendové IS'!R7-'Výdavky - Agendové IS'!U7</f>
        <v>-12548566</v>
      </c>
      <c r="D7" s="29">
        <f t="shared" si="1"/>
        <v>-12972165</v>
      </c>
      <c r="E7" s="27">
        <f>'Prínosy - Agendové IS'!T7-('Výdavky - Agendové IS'!T7/1.2)</f>
        <v>-2907292.3321839082</v>
      </c>
      <c r="F7" s="27">
        <f>'Prínosy - Agendové IS'!U7-('Výdavky - Agendové IS'!U7/1.2)</f>
        <v>-8943521.5995402299</v>
      </c>
      <c r="G7" s="29">
        <f t="shared" si="0"/>
        <v>-6036229.2673563212</v>
      </c>
      <c r="H7" s="57">
        <v>3</v>
      </c>
      <c r="I7" s="53">
        <f>D7*(1/(1+Faktory!$D$3)^H7)</f>
        <v>-11532207.449078288</v>
      </c>
      <c r="J7" s="60">
        <f>G7*(1/(1+Faktory!$D$5)^H7)</f>
        <v>-5214321.7944984958</v>
      </c>
      <c r="K7" s="58">
        <f t="shared" si="2"/>
        <v>-46355053.140759602</v>
      </c>
      <c r="L7" s="31" t="str">
        <f t="shared" si="3"/>
        <v>&lt;</v>
      </c>
    </row>
    <row r="8" spans="1:12" x14ac:dyDescent="0.25">
      <c r="A8" s="33" t="s">
        <v>29</v>
      </c>
      <c r="B8" s="27">
        <f>'Prínosy - Agendové IS'!Q8-'Výdavky - Agendové IS'!T8</f>
        <v>484066</v>
      </c>
      <c r="C8" s="26">
        <f>'Prínosy - Agendové IS'!R8-'Výdavky - Agendové IS'!U8</f>
        <v>-13210606</v>
      </c>
      <c r="D8" s="29">
        <f t="shared" si="1"/>
        <v>-13694672</v>
      </c>
      <c r="E8" s="27">
        <f>'Prínosy - Agendové IS'!T8-('Výdavky - Agendové IS'!T8/1.2)</f>
        <v>-3297917.1103448276</v>
      </c>
      <c r="F8" s="27">
        <f>'Prínosy - Agendové IS'!U8-('Výdavky - Agendové IS'!U8/1.2)</f>
        <v>-9203787.5941379312</v>
      </c>
      <c r="G8" s="29">
        <f t="shared" si="0"/>
        <v>-5905870.4837931041</v>
      </c>
      <c r="H8" s="57">
        <v>4</v>
      </c>
      <c r="I8" s="53">
        <f>D8*(1/(1+Faktory!$D$3)^H8)</f>
        <v>-11706263.020377437</v>
      </c>
      <c r="J8" s="60">
        <f>G8*(1/(1+Faktory!$D$5)^H8)</f>
        <v>-4858774.2628169162</v>
      </c>
      <c r="K8" s="58">
        <f t="shared" si="2"/>
        <v>-51213827.403576516</v>
      </c>
      <c r="L8" s="31" t="str">
        <f t="shared" si="3"/>
        <v>&lt;</v>
      </c>
    </row>
    <row r="9" spans="1:12" x14ac:dyDescent="0.25">
      <c r="A9" s="33" t="s">
        <v>30</v>
      </c>
      <c r="B9" s="27">
        <f>'Prínosy - Agendové IS'!Q9-'Výdavky - Agendové IS'!T9</f>
        <v>544555</v>
      </c>
      <c r="C9" s="26">
        <f>'Prínosy - Agendové IS'!R9-'Výdavky - Agendové IS'!U9</f>
        <v>-12750286</v>
      </c>
      <c r="D9" s="29">
        <f t="shared" si="1"/>
        <v>-13294841</v>
      </c>
      <c r="E9" s="27">
        <f>'Prínosy - Agendové IS'!T9-('Výdavky - Agendové IS'!T9/1.2)</f>
        <v>-3700069.8141762456</v>
      </c>
      <c r="F9" s="27">
        <f>'Prínosy - Agendové IS'!U9-('Výdavky - Agendové IS'!U9/1.2)</f>
        <v>-8507501.2590038329</v>
      </c>
      <c r="G9" s="29">
        <f t="shared" si="0"/>
        <v>-4807431.4448275873</v>
      </c>
      <c r="H9" s="57">
        <v>5</v>
      </c>
      <c r="I9" s="53">
        <f>D9*(1/(1+Faktory!$D$3)^H9)</f>
        <v>-10927390.197955605</v>
      </c>
      <c r="J9" s="60">
        <f>G9*(1/(1+Faktory!$D$5)^H9)</f>
        <v>-3766748.3305256842</v>
      </c>
      <c r="K9" s="58">
        <f t="shared" si="2"/>
        <v>-54980575.734102197</v>
      </c>
      <c r="L9" s="31" t="str">
        <f t="shared" si="3"/>
        <v>&lt;</v>
      </c>
    </row>
    <row r="10" spans="1:12" x14ac:dyDescent="0.25">
      <c r="A10" s="33" t="s">
        <v>31</v>
      </c>
      <c r="B10" s="27">
        <f>'Prínosy - Agendové IS'!Q10-'Výdavky - Agendové IS'!T10</f>
        <v>605044</v>
      </c>
      <c r="C10" s="26">
        <f>'Prínosy - Agendové IS'!R10-'Výdavky - Agendové IS'!U10</f>
        <v>-12282466</v>
      </c>
      <c r="D10" s="29">
        <f t="shared" si="1"/>
        <v>-12887510</v>
      </c>
      <c r="E10" s="27">
        <f>'Prínosy - Agendové IS'!T10-('Výdavky - Agendové IS'!T10/1.2)</f>
        <v>-4102222.5180076631</v>
      </c>
      <c r="F10" s="27">
        <f>'Prínosy - Agendové IS'!U10-('Výdavky - Agendové IS'!U10/1.2)</f>
        <v>-7780694.0905363997</v>
      </c>
      <c r="G10" s="29">
        <f t="shared" si="0"/>
        <v>-3678471.5725287367</v>
      </c>
      <c r="H10" s="57">
        <v>6</v>
      </c>
      <c r="I10" s="53">
        <f>D10*(1/(1+Faktory!$D$3)^H10)</f>
        <v>-10185186.35349251</v>
      </c>
      <c r="J10" s="60">
        <f>G10*(1/(1+Faktory!$D$5)^H10)</f>
        <v>-2744932.1235110904</v>
      </c>
      <c r="K10" s="58">
        <f t="shared" si="2"/>
        <v>-57725507.857613288</v>
      </c>
      <c r="L10" s="31" t="str">
        <f t="shared" si="3"/>
        <v>&lt;</v>
      </c>
    </row>
    <row r="11" spans="1:12" x14ac:dyDescent="0.25">
      <c r="A11" s="33" t="s">
        <v>32</v>
      </c>
      <c r="B11" s="27">
        <f>'Prínosy - Agendové IS'!Q11-'Výdavky - Agendové IS'!T11</f>
        <v>641344</v>
      </c>
      <c r="C11" s="26">
        <f>'Prínosy - Agendové IS'!R11-'Výdavky - Agendové IS'!U11</f>
        <v>-11843116</v>
      </c>
      <c r="D11" s="29">
        <f t="shared" si="1"/>
        <v>-12484460</v>
      </c>
      <c r="E11" s="27">
        <f>'Prínosy - Agendové IS'!T11-('Výdavky - Agendové IS'!T11/1.2)</f>
        <v>-4346972.5180076631</v>
      </c>
      <c r="F11" s="27">
        <f>'Prínosy - Agendové IS'!U11-('Výdavky - Agendové IS'!U11/1.2)</f>
        <v>-7144408.6738697318</v>
      </c>
      <c r="G11" s="29">
        <f t="shared" si="0"/>
        <v>-2797436.1558620688</v>
      </c>
      <c r="H11" s="57">
        <v>7</v>
      </c>
      <c r="I11" s="53">
        <f>D11*(1/(1+Faktory!$D$3)^H11)</f>
        <v>-9487163.5422086306</v>
      </c>
      <c r="J11" s="60">
        <f>G11*(1/(1+Faktory!$D$5)^H11)</f>
        <v>-1988085.6482021487</v>
      </c>
      <c r="K11" s="58">
        <f t="shared" si="2"/>
        <v>-59713593.505815439</v>
      </c>
      <c r="L11" s="31" t="str">
        <f t="shared" si="3"/>
        <v>&lt;</v>
      </c>
    </row>
    <row r="12" spans="1:12" x14ac:dyDescent="0.25">
      <c r="A12" s="33" t="s">
        <v>33</v>
      </c>
      <c r="B12" s="27">
        <f>'Prínosy - Agendové IS'!Q12-'Výdavky - Agendové IS'!T12</f>
        <v>677644</v>
      </c>
      <c r="C12" s="26">
        <f>'Prínosy - Agendové IS'!R12-'Výdavky - Agendové IS'!U12</f>
        <v>-11286616</v>
      </c>
      <c r="D12" s="29">
        <f t="shared" si="1"/>
        <v>-11964260</v>
      </c>
      <c r="E12" s="27">
        <f>'Prínosy - Agendové IS'!T12-('Výdavky - Agendové IS'!T12/1.2)</f>
        <v>-4591722.5180076631</v>
      </c>
      <c r="F12" s="27">
        <f>'Prínosy - Agendové IS'!U12-('Výdavky - Agendové IS'!U12/1.2)</f>
        <v>-5975887.8405363988</v>
      </c>
      <c r="G12" s="29">
        <f t="shared" si="0"/>
        <v>-1384165.3225287357</v>
      </c>
      <c r="H12" s="57">
        <v>8</v>
      </c>
      <c r="I12" s="53">
        <f>D12*(1/(1+Faktory!$D$3)^H12)</f>
        <v>-8742167.5920970347</v>
      </c>
      <c r="J12" s="60">
        <f>G12*(1/(1+Faktory!$D$5)^H12)</f>
        <v>-936857.57384258159</v>
      </c>
      <c r="K12" s="58">
        <f t="shared" si="2"/>
        <v>-60650451.079658024</v>
      </c>
      <c r="L12" s="31" t="str">
        <f t="shared" si="3"/>
        <v>&lt;</v>
      </c>
    </row>
    <row r="13" spans="1:12" ht="15.75" thickBot="1" x14ac:dyDescent="0.3">
      <c r="A13" s="33" t="s">
        <v>34</v>
      </c>
      <c r="B13" s="48">
        <f>'Prínosy - Agendové IS'!Q13-'Výdavky - Agendové IS'!T13</f>
        <v>701844</v>
      </c>
      <c r="C13" s="44">
        <f>'Prínosy - Agendové IS'!R13-'Výdavky - Agendové IS'!U13</f>
        <v>-11516116</v>
      </c>
      <c r="D13" s="35">
        <f t="shared" si="1"/>
        <v>-12217960</v>
      </c>
      <c r="E13" s="27">
        <f>'Prínosy - Agendové IS'!T13-('Výdavky - Agendové IS'!T13/1.2)</f>
        <v>-4754889.1846743291</v>
      </c>
      <c r="F13" s="27">
        <f>'Prínosy - Agendové IS'!U13-('Výdavky - Agendové IS'!U13/1.2)</f>
        <v>-5716575.3405363988</v>
      </c>
      <c r="G13" s="35">
        <f t="shared" si="0"/>
        <v>-961686.15586206969</v>
      </c>
      <c r="H13" s="57">
        <v>9</v>
      </c>
      <c r="I13" s="54">
        <f>D13*(1/(1+Faktory!$D$3)^H13)</f>
        <v>-8584176.6318327282</v>
      </c>
      <c r="J13" s="61">
        <f>G13*(1/(1+Faktory!$D$5)^H13)</f>
        <v>-619911.47067190835</v>
      </c>
      <c r="K13" s="58">
        <f t="shared" si="2"/>
        <v>-61270362.550329931</v>
      </c>
      <c r="L13" s="31" t="str">
        <f t="shared" si="3"/>
        <v>&lt;</v>
      </c>
    </row>
    <row r="14" spans="1:12" ht="15.75" thickBot="1" x14ac:dyDescent="0.3">
      <c r="A14" s="63" t="s">
        <v>35</v>
      </c>
      <c r="B14" s="45">
        <f t="shared" ref="B14:G14" si="4">SUM(B4:B13)</f>
        <v>4985970</v>
      </c>
      <c r="C14" s="46">
        <f t="shared" si="4"/>
        <v>-139876274</v>
      </c>
      <c r="D14" s="46">
        <f t="shared" si="4"/>
        <v>-144862244</v>
      </c>
      <c r="E14" s="46">
        <f t="shared" si="4"/>
        <v>-34015810.731800765</v>
      </c>
      <c r="F14" s="46">
        <f t="shared" si="4"/>
        <v>-101919968.76881228</v>
      </c>
      <c r="G14" s="47">
        <f t="shared" si="4"/>
        <v>-67904158.037011489</v>
      </c>
      <c r="H14" s="64" t="s">
        <v>35</v>
      </c>
      <c r="I14" s="195">
        <f>SUM(I4:I13)</f>
        <v>-124997722.72195348</v>
      </c>
      <c r="J14" s="196">
        <f>SUM(J4:J13)</f>
        <v>-61270362.550329931</v>
      </c>
      <c r="K14" s="7"/>
      <c r="L14" s="7"/>
    </row>
    <row r="16" spans="1:12" ht="15.75" thickBot="1" x14ac:dyDescent="0.3">
      <c r="H16" s="108" t="s">
        <v>193</v>
      </c>
      <c r="J16" s="206" t="s">
        <v>182</v>
      </c>
      <c r="K16" s="206" t="s">
        <v>191</v>
      </c>
    </row>
    <row r="17" spans="5:11" s="147" customFormat="1" ht="15.75" thickBot="1" x14ac:dyDescent="0.25">
      <c r="H17" s="200" t="s">
        <v>124</v>
      </c>
      <c r="I17" s="202" t="s">
        <v>188</v>
      </c>
      <c r="J17" s="203">
        <f>'Prínosy - Agendové IS'!V15/('Výdavky - Agendové IS'!V15/1.2)</f>
        <v>0.37563490408654809</v>
      </c>
      <c r="K17" s="207">
        <v>1</v>
      </c>
    </row>
    <row r="18" spans="5:11" s="147" customFormat="1" ht="23.25" thickBot="1" x14ac:dyDescent="0.25">
      <c r="H18" s="201" t="s">
        <v>185</v>
      </c>
      <c r="I18" s="202" t="s">
        <v>189</v>
      </c>
      <c r="J18" s="204" t="s">
        <v>376</v>
      </c>
      <c r="K18" s="208" t="s">
        <v>192</v>
      </c>
    </row>
    <row r="19" spans="5:11" s="147" customFormat="1" ht="23.25" thickBot="1" x14ac:dyDescent="0.25">
      <c r="E19" s="197"/>
      <c r="H19" s="201" t="s">
        <v>186</v>
      </c>
      <c r="I19" s="202" t="s">
        <v>190</v>
      </c>
      <c r="J19" s="204" t="e">
        <f>IRR($G$4:$G$13,0.01)</f>
        <v>#NUM!</v>
      </c>
      <c r="K19" s="208">
        <v>0.05</v>
      </c>
    </row>
    <row r="20" spans="5:11" ht="15.75" thickBot="1" x14ac:dyDescent="0.3">
      <c r="H20" s="198"/>
      <c r="I20" s="199"/>
      <c r="J20" s="198"/>
      <c r="K20" s="209"/>
    </row>
    <row r="21" spans="5:11" s="147" customFormat="1" ht="23.25" thickBot="1" x14ac:dyDescent="0.25">
      <c r="H21" s="201" t="s">
        <v>187</v>
      </c>
      <c r="I21" s="202" t="s">
        <v>389</v>
      </c>
      <c r="J21" s="205">
        <f>I14</f>
        <v>-124997722.72195348</v>
      </c>
      <c r="K21" s="210" t="s">
        <v>192</v>
      </c>
    </row>
    <row r="22" spans="5:11" s="147" customFormat="1" ht="23.25" thickBot="1" x14ac:dyDescent="0.25">
      <c r="H22" s="201" t="s">
        <v>73</v>
      </c>
      <c r="I22" s="202" t="s">
        <v>388</v>
      </c>
      <c r="J22" s="205">
        <f>J14</f>
        <v>-61270362.550329931</v>
      </c>
      <c r="K22" s="210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3"/>
  <sheetViews>
    <sheetView view="pageBreakPreview" zoomScale="60" zoomScaleNormal="80" workbookViewId="0"/>
  </sheetViews>
  <sheetFormatPr defaultColWidth="8.85546875" defaultRowHeight="15" x14ac:dyDescent="0.25"/>
  <cols>
    <col min="1" max="1" width="7.85546875" style="62" customWidth="1"/>
    <col min="2" max="2" width="12.7109375" style="62" customWidth="1"/>
    <col min="3" max="3" width="14" style="62" customWidth="1"/>
    <col min="4" max="4" width="9.42578125" style="62" customWidth="1"/>
    <col min="5" max="5" width="11.85546875" style="62" customWidth="1"/>
    <col min="6" max="6" width="11.7109375" style="62" customWidth="1"/>
    <col min="7" max="7" width="9.7109375" customWidth="1"/>
    <col min="8" max="8" width="11.42578125" customWidth="1"/>
    <col min="9" max="9" width="10.85546875" customWidth="1"/>
    <col min="10" max="10" width="9.42578125" customWidth="1"/>
    <col min="11" max="11" width="12.7109375" customWidth="1"/>
    <col min="12" max="12" width="11.42578125" customWidth="1"/>
    <col min="13" max="13" width="10.42578125" customWidth="1"/>
    <col min="14" max="14" width="13.28515625" customWidth="1"/>
    <col min="15" max="15" width="11.28515625" customWidth="1"/>
    <col min="16" max="16" width="9.7109375" customWidth="1"/>
    <col min="17" max="17" width="14.7109375" customWidth="1"/>
    <col min="18" max="18" width="15.7109375" customWidth="1"/>
  </cols>
  <sheetData>
    <row r="2" spans="1:18" x14ac:dyDescent="0.25">
      <c r="A2" s="238" t="s">
        <v>124</v>
      </c>
      <c r="B2" s="239">
        <f>'CBA - Agendové IS'!J17</f>
        <v>0.37563490408654809</v>
      </c>
    </row>
    <row r="4" spans="1:18" x14ac:dyDescent="0.25">
      <c r="A4" s="229"/>
    </row>
    <row r="5" spans="1:18" ht="30" customHeight="1" x14ac:dyDescent="0.25">
      <c r="A5" s="229"/>
      <c r="B5" s="710" t="s">
        <v>212</v>
      </c>
      <c r="C5" s="711"/>
      <c r="D5" s="247"/>
      <c r="E5" s="710" t="s">
        <v>213</v>
      </c>
      <c r="F5" s="711"/>
      <c r="H5" s="708" t="s">
        <v>208</v>
      </c>
      <c r="I5" s="709"/>
      <c r="J5" s="62"/>
      <c r="K5" s="710" t="s">
        <v>211</v>
      </c>
      <c r="L5" s="711"/>
      <c r="N5" s="708" t="s">
        <v>209</v>
      </c>
      <c r="O5" s="709"/>
      <c r="Q5" s="708" t="s">
        <v>210</v>
      </c>
      <c r="R5" s="709"/>
    </row>
    <row r="6" spans="1:18" x14ac:dyDescent="0.25">
      <c r="A6" s="229"/>
      <c r="B6" s="242" t="s">
        <v>12</v>
      </c>
      <c r="C6" s="241" t="s">
        <v>124</v>
      </c>
      <c r="D6" s="248"/>
      <c r="E6" s="242" t="s">
        <v>12</v>
      </c>
      <c r="F6" s="241" t="s">
        <v>124</v>
      </c>
      <c r="H6" s="242" t="s">
        <v>12</v>
      </c>
      <c r="I6" s="241" t="s">
        <v>124</v>
      </c>
      <c r="J6" s="62"/>
      <c r="K6" s="242" t="s">
        <v>12</v>
      </c>
      <c r="L6" s="241" t="s">
        <v>124</v>
      </c>
      <c r="N6" s="243" t="s">
        <v>12</v>
      </c>
      <c r="O6" s="244" t="s">
        <v>124</v>
      </c>
      <c r="Q6" s="243" t="s">
        <v>12</v>
      </c>
      <c r="R6" s="244" t="s">
        <v>124</v>
      </c>
    </row>
    <row r="7" spans="1:18" ht="15" customHeight="1" x14ac:dyDescent="0.25">
      <c r="A7" s="229"/>
      <c r="B7" s="234">
        <v>0</v>
      </c>
      <c r="C7" s="225">
        <f>B2</f>
        <v>0.37563490408654809</v>
      </c>
      <c r="D7" s="245"/>
      <c r="E7" s="234">
        <v>0</v>
      </c>
      <c r="F7" s="225">
        <f>B2</f>
        <v>0.37563490408654809</v>
      </c>
      <c r="H7" s="234">
        <v>0</v>
      </c>
      <c r="I7" s="225">
        <f>B2</f>
        <v>0.37563490408654809</v>
      </c>
      <c r="J7" s="62"/>
      <c r="K7" s="234">
        <v>0</v>
      </c>
      <c r="L7" s="225">
        <f>B2</f>
        <v>0.37563490408654809</v>
      </c>
      <c r="N7" s="236">
        <v>0</v>
      </c>
      <c r="O7" s="227">
        <f>B2</f>
        <v>0.37563490408654809</v>
      </c>
      <c r="Q7" s="236">
        <v>0</v>
      </c>
      <c r="R7" s="227">
        <f>B2</f>
        <v>0.37563490408654809</v>
      </c>
    </row>
    <row r="8" spans="1:18" x14ac:dyDescent="0.25">
      <c r="A8" s="229"/>
      <c r="B8" s="234">
        <v>0.1</v>
      </c>
      <c r="C8" s="230">
        <f t="dataTable" ref="C8:C17" dt2D="0" dtr="0" r1="B7" ca="1"/>
        <v>0.33733349960245923</v>
      </c>
      <c r="D8" s="246"/>
      <c r="E8" s="234">
        <v>0.1</v>
      </c>
      <c r="F8" s="230">
        <f t="dataTable" ref="F8:F17" dt2D="0" dtr="0" r1="E7" ca="1"/>
        <v>0.36980314109086804</v>
      </c>
      <c r="H8" s="234">
        <v>-0.1</v>
      </c>
      <c r="I8" s="230">
        <f t="dataTable" ref="I8:I17" dt2D="0" dtr="0" r1="H7" ca="1"/>
        <v>0.37563490408654809</v>
      </c>
      <c r="J8" s="62"/>
      <c r="K8" s="234">
        <v>-0.1</v>
      </c>
      <c r="L8" s="230">
        <f t="dataTable" ref="L8:L17" dt2D="0" dtr="0" r1="K7" ca="1"/>
        <v>0.35012164960927245</v>
      </c>
      <c r="N8" s="236">
        <v>-0.1</v>
      </c>
      <c r="O8" s="232">
        <f t="dataTable" ref="O8:O17" dt2D="0" dtr="0" r1="N7" ca="1"/>
        <v>0.37550052948599383</v>
      </c>
      <c r="Q8" s="236">
        <v>-0.1</v>
      </c>
      <c r="R8" s="232">
        <f t="dataTable" ref="R8:R17" dt2D="0" dtr="0" r1="Q7" ca="1"/>
        <v>0.33820578827844744</v>
      </c>
    </row>
    <row r="9" spans="1:18" x14ac:dyDescent="0.25">
      <c r="A9" s="228"/>
      <c r="B9" s="234">
        <v>0.2</v>
      </c>
      <c r="C9" s="230">
        <v>0.30612013042756786</v>
      </c>
      <c r="D9" s="246"/>
      <c r="E9" s="234">
        <v>0.2</v>
      </c>
      <c r="F9" s="230">
        <v>0.36414968704101497</v>
      </c>
      <c r="H9" s="234">
        <v>-0.2</v>
      </c>
      <c r="I9" s="230">
        <v>0.37563490408654809</v>
      </c>
      <c r="J9" s="62"/>
      <c r="K9" s="234">
        <v>-0.2</v>
      </c>
      <c r="L9" s="230">
        <v>0.32460839513199674</v>
      </c>
      <c r="N9" s="236">
        <v>-0.2</v>
      </c>
      <c r="O9" s="232">
        <v>0.37536615488543967</v>
      </c>
      <c r="Q9" s="236">
        <v>-0.2</v>
      </c>
      <c r="R9" s="232">
        <v>0.3007766724703469</v>
      </c>
    </row>
    <row r="10" spans="1:18" x14ac:dyDescent="0.25">
      <c r="A10" s="228"/>
      <c r="B10" s="234">
        <v>0.3</v>
      </c>
      <c r="C10" s="230">
        <v>0.28019387395278</v>
      </c>
      <c r="D10" s="246"/>
      <c r="E10" s="234">
        <v>0.3</v>
      </c>
      <c r="F10" s="230">
        <v>0.35866648725281269</v>
      </c>
      <c r="H10" s="234">
        <v>-0.3</v>
      </c>
      <c r="I10" s="230">
        <v>0.37563490408654809</v>
      </c>
      <c r="J10" s="62"/>
      <c r="K10" s="234">
        <v>-0.3</v>
      </c>
      <c r="L10" s="230">
        <v>0.29909514065472109</v>
      </c>
      <c r="N10" s="236">
        <v>-0.3</v>
      </c>
      <c r="O10" s="232">
        <v>0.37523178028488541</v>
      </c>
      <c r="Q10" s="236">
        <v>-0.3</v>
      </c>
      <c r="R10" s="232">
        <v>0.2633475566622463</v>
      </c>
    </row>
    <row r="11" spans="1:18" x14ac:dyDescent="0.25">
      <c r="A11" s="228"/>
      <c r="B11" s="234">
        <v>0.4</v>
      </c>
      <c r="C11" s="230">
        <v>0.25831627333639279</v>
      </c>
      <c r="D11" s="246"/>
      <c r="E11" s="234">
        <v>0.4</v>
      </c>
      <c r="F11" s="230">
        <v>0.35334596498053844</v>
      </c>
      <c r="H11" s="234">
        <v>-0.4</v>
      </c>
      <c r="I11" s="230">
        <v>0.37563490408654809</v>
      </c>
      <c r="J11" s="62"/>
      <c r="K11" s="234">
        <v>-0.4</v>
      </c>
      <c r="L11" s="230">
        <v>0.2735818861774455</v>
      </c>
      <c r="N11" s="236">
        <v>-0.4</v>
      </c>
      <c r="O11" s="232">
        <v>0.3750974056843312</v>
      </c>
      <c r="Q11" s="236">
        <v>-0.4</v>
      </c>
      <c r="R11" s="232">
        <v>0.2259184408541457</v>
      </c>
    </row>
    <row r="12" spans="1:18" x14ac:dyDescent="0.25">
      <c r="A12" s="228"/>
      <c r="B12" s="234">
        <v>0.5</v>
      </c>
      <c r="C12" s="230">
        <v>0.23960765389846858</v>
      </c>
      <c r="D12" s="246"/>
      <c r="E12" s="234">
        <v>0.5</v>
      </c>
      <c r="F12" s="230">
        <v>0.34818098648597595</v>
      </c>
      <c r="H12" s="234">
        <v>-0.5</v>
      </c>
      <c r="I12" s="230">
        <v>0.37563490408654809</v>
      </c>
      <c r="J12" s="62"/>
      <c r="K12" s="234">
        <v>-0.5</v>
      </c>
      <c r="L12" s="230">
        <v>0.24806863170016982</v>
      </c>
      <c r="N12" s="236">
        <v>-0.5</v>
      </c>
      <c r="O12" s="232">
        <v>0.37496303108377699</v>
      </c>
      <c r="Q12" s="236">
        <v>-0.5</v>
      </c>
      <c r="R12" s="232">
        <v>0.18848932504604518</v>
      </c>
    </row>
    <row r="13" spans="1:18" x14ac:dyDescent="0.25">
      <c r="A13" s="228"/>
      <c r="B13" s="234">
        <v>0.6</v>
      </c>
      <c r="C13" s="230">
        <v>0.22342597301662734</v>
      </c>
      <c r="D13" s="246"/>
      <c r="E13" s="234">
        <v>0.6</v>
      </c>
      <c r="F13" s="230">
        <v>0.34316482912691748</v>
      </c>
      <c r="H13" s="234">
        <v>-0.6</v>
      </c>
      <c r="I13" s="230">
        <v>0.37563490408654809</v>
      </c>
      <c r="J13" s="62"/>
      <c r="K13" s="234">
        <v>-0.6</v>
      </c>
      <c r="L13" s="230">
        <v>0.22255537722289415</v>
      </c>
      <c r="N13" s="236">
        <v>-0.6</v>
      </c>
      <c r="O13" s="232">
        <v>0.37482865648322272</v>
      </c>
      <c r="Q13" s="236">
        <v>-0.6</v>
      </c>
      <c r="R13" s="232">
        <v>0.15106020923794461</v>
      </c>
    </row>
    <row r="14" spans="1:18" x14ac:dyDescent="0.25">
      <c r="A14" s="224"/>
      <c r="B14" s="234">
        <v>0.7</v>
      </c>
      <c r="C14" s="230">
        <v>0.20929165502727445</v>
      </c>
      <c r="D14" s="246"/>
      <c r="E14" s="234">
        <v>0.7</v>
      </c>
      <c r="F14" s="230">
        <v>0.33829115216493644</v>
      </c>
      <c r="H14" s="234">
        <v>-0.7</v>
      </c>
      <c r="I14" s="230">
        <v>0.37563490408654809</v>
      </c>
      <c r="J14" s="62"/>
      <c r="K14" s="234">
        <v>-0.7</v>
      </c>
      <c r="L14" s="230">
        <v>0.19704212274561853</v>
      </c>
      <c r="N14" s="236">
        <v>-0.7</v>
      </c>
      <c r="O14" s="232">
        <v>0.37469428188266851</v>
      </c>
      <c r="Q14" s="236">
        <v>-0.7</v>
      </c>
      <c r="R14" s="232">
        <v>0.11363109342984405</v>
      </c>
    </row>
    <row r="15" spans="1:18" x14ac:dyDescent="0.25">
      <c r="A15" s="224"/>
      <c r="B15" s="234">
        <v>0.8</v>
      </c>
      <c r="C15" s="230">
        <v>0.19683925908119027</v>
      </c>
      <c r="D15" s="246"/>
      <c r="E15" s="234">
        <v>0.8</v>
      </c>
      <c r="F15" s="230">
        <v>0.33355397002587994</v>
      </c>
      <c r="H15" s="234">
        <v>-0.8</v>
      </c>
      <c r="I15" s="230">
        <v>0.37563490408654809</v>
      </c>
      <c r="J15" s="62"/>
      <c r="K15" s="234">
        <v>-0.8</v>
      </c>
      <c r="L15" s="230">
        <v>0.1715288682683429</v>
      </c>
      <c r="N15" s="236">
        <v>-0.8</v>
      </c>
      <c r="O15" s="232">
        <v>0.3745599072821143</v>
      </c>
      <c r="Q15" s="236">
        <v>-0.8</v>
      </c>
      <c r="R15" s="232">
        <v>7.6201977621743397E-2</v>
      </c>
    </row>
    <row r="16" spans="1:18" x14ac:dyDescent="0.25">
      <c r="A16" s="224"/>
      <c r="B16" s="234">
        <v>0.9</v>
      </c>
      <c r="C16" s="230">
        <v>0.1857854320177201</v>
      </c>
      <c r="D16" s="246"/>
      <c r="E16" s="234">
        <v>0.9</v>
      </c>
      <c r="F16" s="230">
        <v>0.32894762777597791</v>
      </c>
      <c r="H16" s="234">
        <v>-0.9</v>
      </c>
      <c r="I16" s="230">
        <v>0.37563490408654809</v>
      </c>
      <c r="J16" s="62"/>
      <c r="K16" s="234">
        <v>-0.9</v>
      </c>
      <c r="L16" s="230">
        <v>0.14601561379106726</v>
      </c>
      <c r="N16" s="236">
        <v>-0.9</v>
      </c>
      <c r="O16" s="232">
        <v>0.37442553268155992</v>
      </c>
      <c r="Q16" s="236">
        <v>-0.9</v>
      </c>
      <c r="R16" s="232">
        <v>3.8772861813642839E-2</v>
      </c>
    </row>
    <row r="17" spans="1:18" x14ac:dyDescent="0.25">
      <c r="A17" s="224"/>
      <c r="B17" s="235">
        <v>1</v>
      </c>
      <c r="C17" s="231">
        <v>0.17590708505332434</v>
      </c>
      <c r="D17" s="246"/>
      <c r="E17" s="235">
        <v>1</v>
      </c>
      <c r="F17" s="231">
        <v>0.32446677860230605</v>
      </c>
      <c r="H17" s="235">
        <v>-1</v>
      </c>
      <c r="I17" s="231">
        <v>0.37563490408654809</v>
      </c>
      <c r="J17" s="62"/>
      <c r="K17" s="235">
        <v>-1</v>
      </c>
      <c r="L17" s="231">
        <v>0.12050235931379159</v>
      </c>
      <c r="N17" s="237">
        <v>-1</v>
      </c>
      <c r="O17" s="233">
        <v>0.37429115808100588</v>
      </c>
      <c r="Q17" s="237">
        <v>-1</v>
      </c>
      <c r="R17" s="233">
        <v>1.343746005542262E-3</v>
      </c>
    </row>
    <row r="18" spans="1:18" x14ac:dyDescent="0.25">
      <c r="A18" s="228"/>
      <c r="B18" s="229"/>
      <c r="C18" s="229"/>
      <c r="D18" s="229"/>
      <c r="E18" s="229"/>
      <c r="F18" s="229"/>
      <c r="N18" s="240"/>
    </row>
    <row r="19" spans="1:18" x14ac:dyDescent="0.25">
      <c r="A19" s="228"/>
      <c r="B19" s="229"/>
      <c r="C19" s="229"/>
      <c r="D19" s="229"/>
      <c r="E19" s="229"/>
      <c r="F19" s="229"/>
    </row>
    <row r="20" spans="1:18" x14ac:dyDescent="0.25">
      <c r="A20" s="229"/>
      <c r="B20" s="229"/>
      <c r="C20" s="229"/>
      <c r="D20" s="229"/>
      <c r="E20" s="229"/>
      <c r="F20" s="229"/>
    </row>
    <row r="25" spans="1:18" ht="18.75" customHeight="1" x14ac:dyDescent="0.25">
      <c r="B25" s="229"/>
      <c r="C25" s="229"/>
      <c r="D25" s="702" t="s">
        <v>210</v>
      </c>
      <c r="E25" s="703"/>
      <c r="F25" s="703"/>
      <c r="G25" s="703"/>
      <c r="H25" s="703"/>
      <c r="I25" s="703"/>
      <c r="J25" s="703"/>
      <c r="K25" s="703"/>
      <c r="L25" s="703"/>
      <c r="M25" s="703"/>
      <c r="N25" s="704"/>
    </row>
    <row r="26" spans="1:18" x14ac:dyDescent="0.25">
      <c r="B26" s="229"/>
      <c r="C26" s="249">
        <f>B2</f>
        <v>0.37563490408654809</v>
      </c>
      <c r="D26" s="255">
        <v>0</v>
      </c>
      <c r="E26" s="252">
        <v>-0.1</v>
      </c>
      <c r="F26" s="252">
        <v>-0.2</v>
      </c>
      <c r="G26" s="252">
        <v>-0.3</v>
      </c>
      <c r="H26" s="252">
        <v>-0.4</v>
      </c>
      <c r="I26" s="252">
        <v>-0.5</v>
      </c>
      <c r="J26" s="252">
        <v>-0.6</v>
      </c>
      <c r="K26" s="252">
        <v>-0.7</v>
      </c>
      <c r="L26" s="252">
        <v>-0.8</v>
      </c>
      <c r="M26" s="252">
        <v>-0.9</v>
      </c>
      <c r="N26" s="256">
        <v>-1</v>
      </c>
    </row>
    <row r="27" spans="1:18" ht="14.25" customHeight="1" x14ac:dyDescent="0.25">
      <c r="B27" s="705" t="s">
        <v>209</v>
      </c>
      <c r="C27" s="257">
        <v>0</v>
      </c>
      <c r="D27" s="246">
        <f t="dataTable" ref="D27:N37" dt2D="1" dtr="1" r1="Q7" r2="N7" ca="1"/>
        <v>0.37563490408654809</v>
      </c>
      <c r="E27" s="246">
        <v>0.33820578827844744</v>
      </c>
      <c r="F27" s="246">
        <v>0.3007766724703469</v>
      </c>
      <c r="G27" s="251">
        <v>0.2633475566622463</v>
      </c>
      <c r="H27" s="251">
        <v>0.2259184408541457</v>
      </c>
      <c r="I27" s="251">
        <v>0.18848932504604518</v>
      </c>
      <c r="J27" s="251">
        <v>0.15106020923794461</v>
      </c>
      <c r="K27" s="251">
        <v>0.11363109342984405</v>
      </c>
      <c r="L27" s="251">
        <v>7.6201977621743397E-2</v>
      </c>
      <c r="M27" s="251">
        <v>3.8772861813642839E-2</v>
      </c>
      <c r="N27" s="232">
        <v>1.343746005542262E-3</v>
      </c>
    </row>
    <row r="28" spans="1:18" x14ac:dyDescent="0.25">
      <c r="B28" s="706"/>
      <c r="C28" s="250">
        <v>-0.1</v>
      </c>
      <c r="D28" s="246">
        <v>0.37550052948599383</v>
      </c>
      <c r="E28" s="246">
        <v>0.33807141367789328</v>
      </c>
      <c r="F28" s="246">
        <v>0.30064229786979269</v>
      </c>
      <c r="G28" s="251">
        <v>0.26321318206169203</v>
      </c>
      <c r="H28" s="251">
        <v>0.22578406625359154</v>
      </c>
      <c r="I28" s="251">
        <v>0.18835495044549094</v>
      </c>
      <c r="J28" s="251">
        <v>0.15092583463739034</v>
      </c>
      <c r="K28" s="251">
        <v>0.1134967188292898</v>
      </c>
      <c r="L28" s="251">
        <v>7.6067603021189173E-2</v>
      </c>
      <c r="M28" s="251">
        <v>3.8638487213088615E-2</v>
      </c>
      <c r="N28" s="232">
        <v>1.2093714049880358E-3</v>
      </c>
    </row>
    <row r="29" spans="1:18" x14ac:dyDescent="0.25">
      <c r="B29" s="706"/>
      <c r="C29" s="250">
        <v>-0.2</v>
      </c>
      <c r="D29" s="246">
        <v>0.37536615488543967</v>
      </c>
      <c r="E29" s="246">
        <v>0.33793703907733896</v>
      </c>
      <c r="F29" s="246">
        <v>0.30050792326923847</v>
      </c>
      <c r="G29" s="251">
        <v>0.26307880746113782</v>
      </c>
      <c r="H29" s="251">
        <v>0.22564969165303728</v>
      </c>
      <c r="I29" s="251">
        <v>0.18822057584493671</v>
      </c>
      <c r="J29" s="251">
        <v>0.15079146003683613</v>
      </c>
      <c r="K29" s="251">
        <v>0.11336234422873558</v>
      </c>
      <c r="L29" s="251">
        <v>7.5933228420634949E-2</v>
      </c>
      <c r="M29" s="251">
        <v>3.8504112612534377E-2</v>
      </c>
      <c r="N29" s="232">
        <v>1.0749968044338099E-3</v>
      </c>
    </row>
    <row r="30" spans="1:18" x14ac:dyDescent="0.25">
      <c r="B30" s="706"/>
      <c r="C30" s="250">
        <v>-0.3</v>
      </c>
      <c r="D30" s="246">
        <v>0.37523178028488541</v>
      </c>
      <c r="E30" s="246">
        <v>0.33780266447678486</v>
      </c>
      <c r="F30" s="246">
        <v>0.30037354866868426</v>
      </c>
      <c r="G30" s="251">
        <v>0.26294443286058361</v>
      </c>
      <c r="H30" s="251">
        <v>0.22551531705248309</v>
      </c>
      <c r="I30" s="251">
        <v>0.18808620124438249</v>
      </c>
      <c r="J30" s="251">
        <v>0.15065708543628192</v>
      </c>
      <c r="K30" s="251">
        <v>0.11322796962818134</v>
      </c>
      <c r="L30" s="251">
        <v>7.5798853820080725E-2</v>
      </c>
      <c r="M30" s="251">
        <v>3.8369738011980146E-2</v>
      </c>
      <c r="N30" s="232">
        <v>9.4062220387958336E-4</v>
      </c>
    </row>
    <row r="31" spans="1:18" x14ac:dyDescent="0.25">
      <c r="B31" s="706"/>
      <c r="C31" s="250">
        <v>-0.4</v>
      </c>
      <c r="D31" s="246">
        <v>0.3750974056843312</v>
      </c>
      <c r="E31" s="246">
        <v>0.3376682898762306</v>
      </c>
      <c r="F31" s="246">
        <v>0.30023917406813</v>
      </c>
      <c r="G31" s="251">
        <v>0.2628100582600294</v>
      </c>
      <c r="H31" s="251">
        <v>0.22538094245192888</v>
      </c>
      <c r="I31" s="251">
        <v>0.18795182664382828</v>
      </c>
      <c r="J31" s="251">
        <v>0.15052271083572769</v>
      </c>
      <c r="K31" s="251">
        <v>0.11309359502762713</v>
      </c>
      <c r="L31" s="251">
        <v>7.5664479219526501E-2</v>
      </c>
      <c r="M31" s="251">
        <v>3.8235363411425929E-2</v>
      </c>
      <c r="N31" s="232">
        <v>8.0624760332535718E-4</v>
      </c>
    </row>
    <row r="32" spans="1:18" x14ac:dyDescent="0.25">
      <c r="B32" s="706"/>
      <c r="C32" s="250">
        <v>-0.5</v>
      </c>
      <c r="D32" s="246">
        <v>0.37496303108377699</v>
      </c>
      <c r="E32" s="246">
        <v>0.33753391527567628</v>
      </c>
      <c r="F32" s="246">
        <v>0.30010479946757579</v>
      </c>
      <c r="G32" s="251">
        <v>0.26267568365947519</v>
      </c>
      <c r="H32" s="251">
        <v>0.22524656785137462</v>
      </c>
      <c r="I32" s="251">
        <v>0.18781745204327402</v>
      </c>
      <c r="J32" s="251">
        <v>0.15038833623517345</v>
      </c>
      <c r="K32" s="251">
        <v>0.11295922042707289</v>
      </c>
      <c r="L32" s="251">
        <v>7.5530104618972277E-2</v>
      </c>
      <c r="M32" s="251">
        <v>3.8100988810871698E-2</v>
      </c>
      <c r="N32" s="232">
        <v>6.71873002771131E-4</v>
      </c>
    </row>
    <row r="33" spans="2:14" x14ac:dyDescent="0.25">
      <c r="B33" s="706"/>
      <c r="C33" s="250">
        <v>-0.6</v>
      </c>
      <c r="D33" s="246">
        <v>0.37482865648322272</v>
      </c>
      <c r="E33" s="246">
        <v>0.33739954067512218</v>
      </c>
      <c r="F33" s="246">
        <v>0.29997042486702158</v>
      </c>
      <c r="G33" s="251">
        <v>0.26254130905892092</v>
      </c>
      <c r="H33" s="251">
        <v>0.22511219325082035</v>
      </c>
      <c r="I33" s="251">
        <v>0.18768307744271984</v>
      </c>
      <c r="J33" s="251">
        <v>0.15025396163461924</v>
      </c>
      <c r="K33" s="251">
        <v>0.11282484582651867</v>
      </c>
      <c r="L33" s="251">
        <v>7.5395730018418039E-2</v>
      </c>
      <c r="M33" s="251">
        <v>3.7966614210317474E-2</v>
      </c>
      <c r="N33" s="232">
        <v>5.3749840221690472E-4</v>
      </c>
    </row>
    <row r="34" spans="2:14" x14ac:dyDescent="0.25">
      <c r="B34" s="706"/>
      <c r="C34" s="250">
        <v>-0.7</v>
      </c>
      <c r="D34" s="246">
        <v>0.37469428188266851</v>
      </c>
      <c r="E34" s="246">
        <v>0.33726516607456791</v>
      </c>
      <c r="F34" s="246">
        <v>0.29983605026646731</v>
      </c>
      <c r="G34" s="251">
        <v>0.26240693445836666</v>
      </c>
      <c r="H34" s="251">
        <v>0.22497781865026617</v>
      </c>
      <c r="I34" s="251">
        <v>0.1875487028421656</v>
      </c>
      <c r="J34" s="251">
        <v>0.150119587034065</v>
      </c>
      <c r="K34" s="251">
        <v>0.11269047122596446</v>
      </c>
      <c r="L34" s="251">
        <v>7.5261355417863815E-2</v>
      </c>
      <c r="M34" s="251">
        <v>3.783223960976325E-2</v>
      </c>
      <c r="N34" s="232">
        <v>4.0312380166267854E-4</v>
      </c>
    </row>
    <row r="35" spans="2:14" x14ac:dyDescent="0.25">
      <c r="B35" s="706"/>
      <c r="C35" s="250">
        <v>-0.8</v>
      </c>
      <c r="D35" s="246">
        <v>0.3745599072821143</v>
      </c>
      <c r="E35" s="246">
        <v>0.33713079147401365</v>
      </c>
      <c r="F35" s="246">
        <v>0.2997016756659131</v>
      </c>
      <c r="G35" s="251">
        <v>0.2622725598578125</v>
      </c>
      <c r="H35" s="251">
        <v>0.2248434440497119</v>
      </c>
      <c r="I35" s="251">
        <v>0.18741432824161136</v>
      </c>
      <c r="J35" s="251">
        <v>0.14998521243351079</v>
      </c>
      <c r="K35" s="251">
        <v>0.11255609662541019</v>
      </c>
      <c r="L35" s="251">
        <v>7.5126980817309591E-2</v>
      </c>
      <c r="M35" s="251">
        <v>3.769786500920902E-2</v>
      </c>
      <c r="N35" s="232">
        <v>2.6874920110845225E-4</v>
      </c>
    </row>
    <row r="36" spans="2:14" x14ac:dyDescent="0.25">
      <c r="B36" s="706"/>
      <c r="C36" s="250">
        <v>-0.9</v>
      </c>
      <c r="D36" s="246">
        <v>0.37442553268155992</v>
      </c>
      <c r="E36" s="246">
        <v>0.33699641687345944</v>
      </c>
      <c r="F36" s="246">
        <v>0.29956730106535889</v>
      </c>
      <c r="G36" s="251">
        <v>0.26213818525725818</v>
      </c>
      <c r="H36" s="251">
        <v>0.22470906944915769</v>
      </c>
      <c r="I36" s="251">
        <v>0.18727995364105715</v>
      </c>
      <c r="J36" s="251">
        <v>0.14985083783295655</v>
      </c>
      <c r="K36" s="251">
        <v>0.11242172202485599</v>
      </c>
      <c r="L36" s="251">
        <v>7.4992606216755367E-2</v>
      </c>
      <c r="M36" s="251">
        <v>3.7563490408654795E-2</v>
      </c>
      <c r="N36" s="232">
        <v>1.3437460055422615E-4</v>
      </c>
    </row>
    <row r="37" spans="2:14" x14ac:dyDescent="0.25">
      <c r="B37" s="707"/>
      <c r="C37" s="256">
        <v>-1</v>
      </c>
      <c r="D37" s="253">
        <v>0.37429115808100588</v>
      </c>
      <c r="E37" s="253">
        <v>0.33686204227290523</v>
      </c>
      <c r="F37" s="253">
        <v>0.29943292646480468</v>
      </c>
      <c r="G37" s="254">
        <v>0.26200381065670403</v>
      </c>
      <c r="H37" s="254">
        <v>0.22457469484860354</v>
      </c>
      <c r="I37" s="254">
        <v>0.18714557904050294</v>
      </c>
      <c r="J37" s="254">
        <v>0.14971646323240234</v>
      </c>
      <c r="K37" s="254">
        <v>0.11228734742430178</v>
      </c>
      <c r="L37" s="254">
        <v>7.4858231616201143E-2</v>
      </c>
      <c r="M37" s="254">
        <v>3.7429115808100571E-2</v>
      </c>
      <c r="N37" s="233">
        <v>0</v>
      </c>
    </row>
    <row r="41" spans="2:14" x14ac:dyDescent="0.25">
      <c r="B41" s="229"/>
      <c r="C41" s="229"/>
      <c r="D41" s="702" t="s">
        <v>211</v>
      </c>
      <c r="E41" s="703"/>
      <c r="F41" s="703"/>
      <c r="G41" s="703"/>
      <c r="H41" s="703"/>
      <c r="I41" s="703"/>
      <c r="J41" s="703"/>
      <c r="K41" s="703"/>
      <c r="L41" s="703"/>
      <c r="M41" s="703"/>
      <c r="N41" s="704"/>
    </row>
    <row r="42" spans="2:14" x14ac:dyDescent="0.25">
      <c r="B42" s="229"/>
      <c r="C42" s="249">
        <f>B2</f>
        <v>0.37563490408654809</v>
      </c>
      <c r="D42" s="255">
        <v>0</v>
      </c>
      <c r="E42" s="252">
        <v>-0.1</v>
      </c>
      <c r="F42" s="252">
        <v>-0.2</v>
      </c>
      <c r="G42" s="252">
        <v>-0.3</v>
      </c>
      <c r="H42" s="252">
        <v>-0.4</v>
      </c>
      <c r="I42" s="252">
        <v>-0.5</v>
      </c>
      <c r="J42" s="252">
        <v>-0.6</v>
      </c>
      <c r="K42" s="252">
        <v>-0.7</v>
      </c>
      <c r="L42" s="252">
        <v>-0.8</v>
      </c>
      <c r="M42" s="252">
        <v>-0.9</v>
      </c>
      <c r="N42" s="256">
        <v>-1</v>
      </c>
    </row>
    <row r="43" spans="2:14" x14ac:dyDescent="0.25">
      <c r="B43" s="705" t="s">
        <v>213</v>
      </c>
      <c r="C43" s="257">
        <v>0</v>
      </c>
      <c r="D43" s="246">
        <f t="dataTable" ref="D43:N53" dt2D="1" dtr="1" r1="K7" r2="E7"/>
        <v>0.37563490408654809</v>
      </c>
      <c r="E43" s="246">
        <v>0.35012164960927245</v>
      </c>
      <c r="F43" s="246">
        <v>0.32460839513199674</v>
      </c>
      <c r="G43" s="251">
        <v>0.29909514065472109</v>
      </c>
      <c r="H43" s="251">
        <v>0.2735818861774455</v>
      </c>
      <c r="I43" s="251">
        <v>0.24806863170016982</v>
      </c>
      <c r="J43" s="251">
        <v>0.22255537722289415</v>
      </c>
      <c r="K43" s="251">
        <v>0.19704212274561853</v>
      </c>
      <c r="L43" s="251">
        <v>0.1715288682683429</v>
      </c>
      <c r="M43" s="251">
        <v>0.14601561379106726</v>
      </c>
      <c r="N43" s="232">
        <v>0.12050235931379159</v>
      </c>
    </row>
    <row r="44" spans="2:14" x14ac:dyDescent="0.25">
      <c r="B44" s="706"/>
      <c r="C44" s="250">
        <v>0.1</v>
      </c>
      <c r="D44" s="246">
        <v>0.36980314109086804</v>
      </c>
      <c r="E44" s="246">
        <v>0.3446859820023363</v>
      </c>
      <c r="F44" s="246">
        <v>0.31956882291380451</v>
      </c>
      <c r="G44" s="251">
        <v>0.29445166382527277</v>
      </c>
      <c r="H44" s="251">
        <v>0.26933450473674109</v>
      </c>
      <c r="I44" s="251">
        <v>0.24421734564820935</v>
      </c>
      <c r="J44" s="251">
        <v>0.21910018655967758</v>
      </c>
      <c r="K44" s="251">
        <v>0.19398302747114587</v>
      </c>
      <c r="L44" s="251">
        <v>0.16886586838261416</v>
      </c>
      <c r="M44" s="251">
        <v>0.14374870929408243</v>
      </c>
      <c r="N44" s="232">
        <v>0.11863155020555069</v>
      </c>
    </row>
    <row r="45" spans="2:14" x14ac:dyDescent="0.25">
      <c r="B45" s="706"/>
      <c r="C45" s="250">
        <v>0.2</v>
      </c>
      <c r="D45" s="246">
        <v>0.36414968704101497</v>
      </c>
      <c r="E45" s="246">
        <v>0.33941651253506677</v>
      </c>
      <c r="F45" s="246">
        <v>0.31468333802911858</v>
      </c>
      <c r="G45" s="251">
        <v>0.28995016352317038</v>
      </c>
      <c r="H45" s="251">
        <v>0.26521698901722224</v>
      </c>
      <c r="I45" s="251">
        <v>0.24048381451127404</v>
      </c>
      <c r="J45" s="251">
        <v>0.21575064000532584</v>
      </c>
      <c r="K45" s="251">
        <v>0.19101746549937768</v>
      </c>
      <c r="L45" s="251">
        <v>0.16628429099342951</v>
      </c>
      <c r="M45" s="251">
        <v>0.14155111648748134</v>
      </c>
      <c r="N45" s="232">
        <v>0.11681794198153315</v>
      </c>
    </row>
    <row r="46" spans="2:14" x14ac:dyDescent="0.25">
      <c r="B46" s="706"/>
      <c r="C46" s="250">
        <v>0.3</v>
      </c>
      <c r="D46" s="246">
        <v>0.35866648725281269</v>
      </c>
      <c r="E46" s="246">
        <v>0.33430573360026289</v>
      </c>
      <c r="F46" s="246">
        <v>0.30994497994771314</v>
      </c>
      <c r="G46" s="251">
        <v>0.28558422629516339</v>
      </c>
      <c r="H46" s="251">
        <v>0.2612234726426137</v>
      </c>
      <c r="I46" s="251">
        <v>0.23686271899006389</v>
      </c>
      <c r="J46" s="251">
        <v>0.21250196533751411</v>
      </c>
      <c r="K46" s="251">
        <v>0.18814121168496439</v>
      </c>
      <c r="L46" s="251">
        <v>0.16378045803241464</v>
      </c>
      <c r="M46" s="251">
        <v>0.13941970437986489</v>
      </c>
      <c r="N46" s="232">
        <v>0.11505895072731515</v>
      </c>
    </row>
    <row r="47" spans="2:14" x14ac:dyDescent="0.25">
      <c r="B47" s="706"/>
      <c r="C47" s="250">
        <v>0.4</v>
      </c>
      <c r="D47" s="246">
        <v>0.35334596498053844</v>
      </c>
      <c r="E47" s="246">
        <v>0.32934658306742975</v>
      </c>
      <c r="F47" s="246">
        <v>0.30534720115432107</v>
      </c>
      <c r="G47" s="251">
        <v>0.28134781924121238</v>
      </c>
      <c r="H47" s="251">
        <v>0.25734843732810381</v>
      </c>
      <c r="I47" s="251">
        <v>0.23334905541499512</v>
      </c>
      <c r="J47" s="251">
        <v>0.20934967350188646</v>
      </c>
      <c r="K47" s="251">
        <v>0.18535029158877783</v>
      </c>
      <c r="L47" s="251">
        <v>0.16135090967566917</v>
      </c>
      <c r="M47" s="251">
        <v>0.13735152776256052</v>
      </c>
      <c r="N47" s="232">
        <v>0.11335214584945187</v>
      </c>
    </row>
    <row r="48" spans="2:14" x14ac:dyDescent="0.25">
      <c r="B48" s="706"/>
      <c r="C48" s="250">
        <v>0.5</v>
      </c>
      <c r="D48" s="246">
        <v>0.34818098648597595</v>
      </c>
      <c r="E48" s="246">
        <v>0.3245324117243536</v>
      </c>
      <c r="F48" s="246">
        <v>0.30088383696273119</v>
      </c>
      <c r="G48" s="251">
        <v>0.27723526220110883</v>
      </c>
      <c r="H48" s="251">
        <v>0.25358668743948654</v>
      </c>
      <c r="I48" s="251">
        <v>0.22993811267786413</v>
      </c>
      <c r="J48" s="251">
        <v>0.20628953791624174</v>
      </c>
      <c r="K48" s="251">
        <v>0.18264096315461939</v>
      </c>
      <c r="L48" s="251">
        <v>0.15899238839299706</v>
      </c>
      <c r="M48" s="251">
        <v>0.13534381363137468</v>
      </c>
      <c r="N48" s="232">
        <v>0.11169523886975233</v>
      </c>
    </row>
    <row r="49" spans="2:14" x14ac:dyDescent="0.25">
      <c r="B49" s="706"/>
      <c r="C49" s="250">
        <v>0.6</v>
      </c>
      <c r="D49" s="246">
        <v>0.34316482912691748</v>
      </c>
      <c r="E49" s="246">
        <v>0.319856953533044</v>
      </c>
      <c r="F49" s="246">
        <v>0.29654907793917051</v>
      </c>
      <c r="G49" s="251">
        <v>0.27324120234529697</v>
      </c>
      <c r="H49" s="251">
        <v>0.24993332675142355</v>
      </c>
      <c r="I49" s="251">
        <v>0.22662545115755006</v>
      </c>
      <c r="J49" s="251">
        <v>0.20331757556367655</v>
      </c>
      <c r="K49" s="251">
        <v>0.18000969996980309</v>
      </c>
      <c r="L49" s="251">
        <v>0.15670182437592964</v>
      </c>
      <c r="M49" s="251">
        <v>0.13339394878205615</v>
      </c>
      <c r="N49" s="232">
        <v>0.11008607318818266</v>
      </c>
    </row>
    <row r="50" spans="2:14" x14ac:dyDescent="0.25">
      <c r="B50" s="706"/>
      <c r="C50" s="250">
        <v>0.7</v>
      </c>
      <c r="D50" s="246">
        <v>0.33829115216493644</v>
      </c>
      <c r="E50" s="246">
        <v>0.31531429842025299</v>
      </c>
      <c r="F50" s="246">
        <v>0.29233744467556955</v>
      </c>
      <c r="G50" s="251">
        <v>0.2693605909308861</v>
      </c>
      <c r="H50" s="251">
        <v>0.24638373718620274</v>
      </c>
      <c r="I50" s="251">
        <v>0.22340688344151929</v>
      </c>
      <c r="J50" s="251">
        <v>0.20043002969683585</v>
      </c>
      <c r="K50" s="251">
        <v>0.17745317595215243</v>
      </c>
      <c r="L50" s="251">
        <v>0.15447632220746901</v>
      </c>
      <c r="M50" s="251">
        <v>0.1314994684627856</v>
      </c>
      <c r="N50" s="232">
        <v>0.10852261471810216</v>
      </c>
    </row>
    <row r="51" spans="2:14" x14ac:dyDescent="0.25">
      <c r="B51" s="706"/>
      <c r="C51" s="250">
        <v>0.8</v>
      </c>
      <c r="D51" s="246">
        <v>0.33355397002587994</v>
      </c>
      <c r="E51" s="246">
        <v>0.3108988673541242</v>
      </c>
      <c r="F51" s="246">
        <v>0.28824376468236851</v>
      </c>
      <c r="G51" s="251">
        <v>0.26558866201061282</v>
      </c>
      <c r="H51" s="251">
        <v>0.24293355933885716</v>
      </c>
      <c r="I51" s="251">
        <v>0.22027845666710144</v>
      </c>
      <c r="J51" s="251">
        <v>0.19762335399534575</v>
      </c>
      <c r="K51" s="251">
        <v>0.17496825132359006</v>
      </c>
      <c r="L51" s="251">
        <v>0.1523131486518344</v>
      </c>
      <c r="M51" s="251">
        <v>0.12965804598007871</v>
      </c>
      <c r="N51" s="232">
        <v>0.10700294330832301</v>
      </c>
    </row>
    <row r="52" spans="2:14" x14ac:dyDescent="0.25">
      <c r="B52" s="706"/>
      <c r="C52" s="250">
        <v>0.9</v>
      </c>
      <c r="D52" s="246">
        <v>0.32894762777597791</v>
      </c>
      <c r="E52" s="246">
        <v>0.30660538948597332</v>
      </c>
      <c r="F52" s="246">
        <v>0.28426315119596873</v>
      </c>
      <c r="G52" s="251">
        <v>0.26192091290596414</v>
      </c>
      <c r="H52" s="251">
        <v>0.23957867461595961</v>
      </c>
      <c r="I52" s="251">
        <v>0.21723643632595502</v>
      </c>
      <c r="J52" s="251">
        <v>0.1948941980359504</v>
      </c>
      <c r="K52" s="251">
        <v>0.17255195974594584</v>
      </c>
      <c r="L52" s="251">
        <v>0.15020972145594128</v>
      </c>
      <c r="M52" s="251">
        <v>0.12786748316593671</v>
      </c>
      <c r="N52" s="232">
        <v>0.10552524487593212</v>
      </c>
    </row>
    <row r="53" spans="2:14" x14ac:dyDescent="0.25">
      <c r="B53" s="707"/>
      <c r="C53" s="256">
        <v>1</v>
      </c>
      <c r="D53" s="253">
        <v>0.32446677860230605</v>
      </c>
      <c r="E53" s="253">
        <v>0.30242888116028571</v>
      </c>
      <c r="F53" s="253">
        <v>0.28039098371826537</v>
      </c>
      <c r="G53" s="254">
        <v>0.25835308627624504</v>
      </c>
      <c r="H53" s="254">
        <v>0.23631518883422473</v>
      </c>
      <c r="I53" s="254">
        <v>0.21427729139220439</v>
      </c>
      <c r="J53" s="254">
        <v>0.19223939395018402</v>
      </c>
      <c r="K53" s="254">
        <v>0.17020149650816371</v>
      </c>
      <c r="L53" s="254">
        <v>0.14816359906614338</v>
      </c>
      <c r="M53" s="254">
        <v>0.12612570162412304</v>
      </c>
      <c r="N53" s="233">
        <v>0.10408780418210271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V38"/>
  <sheetViews>
    <sheetView view="pageBreakPreview" zoomScale="60" zoomScaleNormal="85" workbookViewId="0">
      <selection activeCell="S29" sqref="S29"/>
    </sheetView>
  </sheetViews>
  <sheetFormatPr defaultColWidth="8.85546875" defaultRowHeight="15" x14ac:dyDescent="0.25"/>
  <cols>
    <col min="1" max="1" width="9.42578125" customWidth="1"/>
    <col min="2" max="3" width="14.28515625" bestFit="1" customWidth="1"/>
    <col min="4" max="4" width="13.42578125" customWidth="1"/>
    <col min="5" max="5" width="11.140625" customWidth="1"/>
    <col min="6" max="6" width="12" customWidth="1"/>
    <col min="8" max="8" width="12" customWidth="1"/>
    <col min="9" max="9" width="14" customWidth="1"/>
    <col min="10" max="10" width="14.85546875" customWidth="1"/>
    <col min="11" max="11" width="13.42578125" customWidth="1"/>
    <col min="12" max="12" width="13.42578125" bestFit="1" customWidth="1"/>
    <col min="13" max="16" width="13.85546875" customWidth="1"/>
    <col min="17" max="17" width="14.7109375" customWidth="1"/>
    <col min="18" max="18" width="14" customWidth="1"/>
    <col min="19" max="19" width="14.42578125" customWidth="1"/>
    <col min="20" max="20" width="14.28515625" bestFit="1" customWidth="1"/>
    <col min="21" max="21" width="13.7109375" customWidth="1"/>
    <col min="22" max="22" width="15.42578125" customWidth="1"/>
  </cols>
  <sheetData>
    <row r="1" spans="1:22" ht="15.75" customHeight="1" thickBot="1" x14ac:dyDescent="0.3">
      <c r="A1" s="18"/>
      <c r="B1" s="694" t="s">
        <v>44</v>
      </c>
      <c r="C1" s="695"/>
      <c r="D1" s="696"/>
      <c r="E1" s="694" t="s">
        <v>45</v>
      </c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6"/>
      <c r="Q1" s="697" t="s">
        <v>46</v>
      </c>
      <c r="R1" s="698"/>
      <c r="S1" s="698"/>
      <c r="T1" s="698"/>
      <c r="U1" s="698"/>
      <c r="V1" s="699"/>
    </row>
    <row r="2" spans="1:22" ht="24" customHeight="1" x14ac:dyDescent="0.25">
      <c r="A2" s="8"/>
      <c r="B2" s="697" t="s">
        <v>47</v>
      </c>
      <c r="C2" s="698"/>
      <c r="D2" s="699"/>
      <c r="E2" s="712" t="s">
        <v>48</v>
      </c>
      <c r="F2" s="713"/>
      <c r="G2" s="714"/>
      <c r="H2" s="715" t="s">
        <v>49</v>
      </c>
      <c r="I2" s="713"/>
      <c r="J2" s="714"/>
      <c r="K2" s="715" t="s">
        <v>50</v>
      </c>
      <c r="L2" s="713"/>
      <c r="M2" s="714"/>
      <c r="N2" s="715" t="s">
        <v>202</v>
      </c>
      <c r="O2" s="713"/>
      <c r="P2" s="716"/>
      <c r="Q2" s="698" t="s">
        <v>17</v>
      </c>
      <c r="R2" s="698"/>
      <c r="S2" s="699"/>
      <c r="T2" s="698" t="s">
        <v>18</v>
      </c>
      <c r="U2" s="698"/>
      <c r="V2" s="699"/>
    </row>
    <row r="3" spans="1:22" ht="18.600000000000001" customHeight="1" thickBot="1" x14ac:dyDescent="0.3">
      <c r="A3" s="19" t="s">
        <v>23</v>
      </c>
      <c r="B3" s="23" t="s">
        <v>243</v>
      </c>
      <c r="C3" s="20" t="s">
        <v>180</v>
      </c>
      <c r="D3" s="24" t="s">
        <v>24</v>
      </c>
      <c r="E3" s="14" t="s">
        <v>243</v>
      </c>
      <c r="F3" s="15" t="s">
        <v>180</v>
      </c>
      <c r="G3" s="22" t="s">
        <v>24</v>
      </c>
      <c r="H3" s="21" t="s">
        <v>243</v>
      </c>
      <c r="I3" s="15" t="s">
        <v>180</v>
      </c>
      <c r="J3" s="22" t="s">
        <v>24</v>
      </c>
      <c r="K3" s="21" t="s">
        <v>243</v>
      </c>
      <c r="L3" s="15" t="s">
        <v>180</v>
      </c>
      <c r="M3" s="22" t="s">
        <v>24</v>
      </c>
      <c r="N3" s="21" t="s">
        <v>243</v>
      </c>
      <c r="O3" s="15" t="s">
        <v>180</v>
      </c>
      <c r="P3" s="16" t="s">
        <v>24</v>
      </c>
      <c r="Q3" s="15" t="s">
        <v>243</v>
      </c>
      <c r="R3" s="15" t="s">
        <v>180</v>
      </c>
      <c r="S3" s="16" t="s">
        <v>24</v>
      </c>
      <c r="T3" s="15" t="s">
        <v>243</v>
      </c>
      <c r="U3" s="15" t="s">
        <v>180</v>
      </c>
      <c r="V3" s="16" t="s">
        <v>24</v>
      </c>
    </row>
    <row r="4" spans="1:22" x14ac:dyDescent="0.25">
      <c r="A4" s="32" t="s">
        <v>25</v>
      </c>
      <c r="B4" s="27">
        <f>'Parametre - Agendové IS'!D117</f>
        <v>2201000</v>
      </c>
      <c r="C4" s="27">
        <f>'Parametre - Agendové IS'!E117</f>
        <v>2201000</v>
      </c>
      <c r="D4" s="29">
        <f>IF(ISERR(C4-B4),"-",C4-B4)</f>
        <v>0</v>
      </c>
      <c r="E4" s="389"/>
      <c r="F4" s="390"/>
      <c r="G4" s="34">
        <f t="shared" ref="G4:G13" si="0">IF(ISERR(F4-E4),"-",F4-E4)</f>
        <v>0</v>
      </c>
      <c r="H4" s="30">
        <v>0</v>
      </c>
      <c r="I4" s="26">
        <f>'Parametre - Agendové IS'!E97</f>
        <v>0</v>
      </c>
      <c r="J4" s="34">
        <f>IF(ISERR(I4-H4),"-",I4-H4)</f>
        <v>0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-56897.961685823757</v>
      </c>
      <c r="O4" s="26">
        <f>-'Parametre - Agendové IS'!E77</f>
        <v>-56897.961685823757</v>
      </c>
      <c r="P4" s="34">
        <f t="shared" ref="P4:P13" si="1">IF(ISERR(O4-N4),"-",O4-N4)</f>
        <v>0</v>
      </c>
      <c r="Q4" s="27">
        <f>SUM(B4,E4)</f>
        <v>2201000</v>
      </c>
      <c r="R4" s="26">
        <f t="shared" ref="R4:R13" si="2">SUM(C4,F4)</f>
        <v>2201000</v>
      </c>
      <c r="S4" s="29">
        <f>R4-Q4</f>
        <v>0</v>
      </c>
      <c r="T4" s="27">
        <f>SUM(H4,K4,N4)</f>
        <v>-56897.961685823757</v>
      </c>
      <c r="U4" s="26">
        <f>SUM(I4,L4,O4)</f>
        <v>-56897.961685823757</v>
      </c>
      <c r="V4" s="29">
        <f>U4-T4</f>
        <v>0</v>
      </c>
    </row>
    <row r="5" spans="1:22" x14ac:dyDescent="0.25">
      <c r="A5" s="33" t="s">
        <v>26</v>
      </c>
      <c r="B5" s="27">
        <f>'Parametre - Agendové IS'!D118</f>
        <v>2751200</v>
      </c>
      <c r="C5" s="27">
        <f>'Parametre - Agendové IS'!E118</f>
        <v>3081200</v>
      </c>
      <c r="D5" s="29">
        <f t="shared" ref="D5:D13" si="3">IF(ISERR(C5-B5),"-",C5-B5)</f>
        <v>330000</v>
      </c>
      <c r="E5" s="389"/>
      <c r="F5" s="390"/>
      <c r="G5" s="29">
        <f t="shared" si="0"/>
        <v>0</v>
      </c>
      <c r="H5" s="30">
        <v>0</v>
      </c>
      <c r="I5" s="26">
        <f>'Parametre - Agendové IS'!E98</f>
        <v>0</v>
      </c>
      <c r="J5" s="161">
        <f>IF(ISERR(I5-H5),"-",I5-H5)</f>
        <v>0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-68277.554022988508</v>
      </c>
      <c r="O5" s="26">
        <f>-'Parametre - Agendové IS'!E78</f>
        <v>-68277.554022988508</v>
      </c>
      <c r="P5" s="29">
        <f t="shared" si="1"/>
        <v>0</v>
      </c>
      <c r="Q5" s="27">
        <f t="shared" ref="Q5:Q13" si="5">SUM(B5,E5)</f>
        <v>2751200</v>
      </c>
      <c r="R5" s="26">
        <f t="shared" si="2"/>
        <v>3081200</v>
      </c>
      <c r="S5" s="29">
        <f t="shared" ref="S5:S12" si="6">R5-Q5</f>
        <v>330000</v>
      </c>
      <c r="T5" s="27">
        <f t="shared" ref="T5:U13" si="7">SUM(H5,K5,N5)</f>
        <v>-68277.554022988508</v>
      </c>
      <c r="U5" s="26">
        <f t="shared" si="7"/>
        <v>-68277.554022988508</v>
      </c>
      <c r="V5" s="29">
        <f t="shared" ref="V5:V13" si="8">U5-T5</f>
        <v>0</v>
      </c>
    </row>
    <row r="6" spans="1:22" x14ac:dyDescent="0.25">
      <c r="A6" s="33" t="s">
        <v>27</v>
      </c>
      <c r="B6" s="27">
        <f>'Parametre - Agendové IS'!D119</f>
        <v>3301200</v>
      </c>
      <c r="C6" s="27">
        <f>'Parametre - Agendové IS'!E119</f>
        <v>2128100</v>
      </c>
      <c r="D6" s="29">
        <f t="shared" si="3"/>
        <v>-1173100</v>
      </c>
      <c r="E6" s="389"/>
      <c r="F6" s="390"/>
      <c r="G6" s="29">
        <f t="shared" si="0"/>
        <v>0</v>
      </c>
      <c r="H6" s="30">
        <v>0</v>
      </c>
      <c r="I6" s="26">
        <f>'Parametre - Agendové IS'!E99</f>
        <v>3045562.5</v>
      </c>
      <c r="J6" s="29">
        <f t="shared" ref="J6:J13" si="9">IF(ISERR(I6-H6),"-",I6-H6)</f>
        <v>3045562.5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-68277.554022988508</v>
      </c>
      <c r="O6" s="26">
        <f>-'Parametre - Agendové IS'!E79</f>
        <v>-27311.021609195406</v>
      </c>
      <c r="P6" s="29">
        <f t="shared" si="1"/>
        <v>40966.532413793102</v>
      </c>
      <c r="Q6" s="27">
        <f t="shared" si="5"/>
        <v>3301200</v>
      </c>
      <c r="R6" s="26">
        <f t="shared" si="2"/>
        <v>2128100</v>
      </c>
      <c r="S6" s="29">
        <f t="shared" si="6"/>
        <v>-1173100</v>
      </c>
      <c r="T6" s="27">
        <f t="shared" si="7"/>
        <v>-68277.554022988508</v>
      </c>
      <c r="U6" s="26">
        <f t="shared" si="7"/>
        <v>3018251.4783908045</v>
      </c>
      <c r="V6" s="29">
        <f t="shared" si="8"/>
        <v>3086529.0324137928</v>
      </c>
    </row>
    <row r="7" spans="1:22" x14ac:dyDescent="0.25">
      <c r="A7" s="33" t="s">
        <v>28</v>
      </c>
      <c r="B7" s="27">
        <f>'Parametre - Agendové IS'!D120</f>
        <v>3850900</v>
      </c>
      <c r="C7" s="27">
        <f>'Parametre - Agendové IS'!E120</f>
        <v>2784450</v>
      </c>
      <c r="D7" s="29">
        <f t="shared" si="3"/>
        <v>-1066450</v>
      </c>
      <c r="E7" s="389"/>
      <c r="F7" s="390"/>
      <c r="G7" s="29">
        <f t="shared" si="0"/>
        <v>0</v>
      </c>
      <c r="H7" s="30">
        <v>0</v>
      </c>
      <c r="I7" s="26">
        <f>'Parametre - Agendové IS'!E100</f>
        <v>3854475</v>
      </c>
      <c r="J7" s="29">
        <f t="shared" si="9"/>
        <v>3854475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-51208.165517241381</v>
      </c>
      <c r="O7" s="26">
        <f>-'Parametre - Agendové IS'!E80</f>
        <v>-20483.266206896555</v>
      </c>
      <c r="P7" s="29">
        <f t="shared" si="1"/>
        <v>30724.899310344827</v>
      </c>
      <c r="Q7" s="27">
        <f t="shared" si="5"/>
        <v>3850900</v>
      </c>
      <c r="R7" s="26">
        <f t="shared" si="2"/>
        <v>2784450</v>
      </c>
      <c r="S7" s="29">
        <f t="shared" si="6"/>
        <v>-1066450</v>
      </c>
      <c r="T7" s="27">
        <f t="shared" si="7"/>
        <v>-51208.165517241381</v>
      </c>
      <c r="U7" s="26">
        <f t="shared" si="7"/>
        <v>3833991.7337931036</v>
      </c>
      <c r="V7" s="29">
        <f t="shared" si="8"/>
        <v>3885199.8993103448</v>
      </c>
    </row>
    <row r="8" spans="1:22" x14ac:dyDescent="0.25">
      <c r="A8" s="33" t="s">
        <v>29</v>
      </c>
      <c r="B8" s="27">
        <f>'Parametre - Agendové IS'!D121</f>
        <v>4400600</v>
      </c>
      <c r="C8" s="27">
        <f>'Parametre - Agendové IS'!E121</f>
        <v>3481050</v>
      </c>
      <c r="D8" s="29">
        <f t="shared" si="3"/>
        <v>-919550</v>
      </c>
      <c r="E8" s="389"/>
      <c r="F8" s="390"/>
      <c r="G8" s="29">
        <f t="shared" si="0"/>
        <v>0</v>
      </c>
      <c r="H8" s="30">
        <v>0</v>
      </c>
      <c r="I8" s="26">
        <f>'Parametre - Agendové IS'!E101</f>
        <v>4719581.25</v>
      </c>
      <c r="J8" s="29">
        <f t="shared" si="9"/>
        <v>4719581.25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-34138.777011494254</v>
      </c>
      <c r="O8" s="26">
        <f>-'Parametre - Agendové IS'!E81</f>
        <v>-13655.510804597703</v>
      </c>
      <c r="P8" s="29">
        <f t="shared" si="1"/>
        <v>20483.266206896551</v>
      </c>
      <c r="Q8" s="27">
        <f t="shared" si="5"/>
        <v>4400600</v>
      </c>
      <c r="R8" s="26">
        <f t="shared" si="2"/>
        <v>3481050</v>
      </c>
      <c r="S8" s="29">
        <f t="shared" si="6"/>
        <v>-919550</v>
      </c>
      <c r="T8" s="27">
        <f t="shared" si="7"/>
        <v>-34138.777011494254</v>
      </c>
      <c r="U8" s="26">
        <f t="shared" si="7"/>
        <v>4705925.7391954027</v>
      </c>
      <c r="V8" s="29">
        <f t="shared" si="8"/>
        <v>4740064.5162068969</v>
      </c>
    </row>
    <row r="9" spans="1:22" x14ac:dyDescent="0.25">
      <c r="A9" s="33" t="s">
        <v>30</v>
      </c>
      <c r="B9" s="27">
        <f>'Parametre - Agendové IS'!D122</f>
        <v>4950500</v>
      </c>
      <c r="C9" s="27">
        <f>'Parametre - Agendové IS'!E122</f>
        <v>4248250</v>
      </c>
      <c r="D9" s="29">
        <f t="shared" si="3"/>
        <v>-702250</v>
      </c>
      <c r="E9" s="389"/>
      <c r="F9" s="390"/>
      <c r="G9" s="29">
        <f t="shared" si="0"/>
        <v>0</v>
      </c>
      <c r="H9" s="30">
        <v>0</v>
      </c>
      <c r="I9" s="26">
        <f>'Parametre - Agendové IS'!E102</f>
        <v>5669325</v>
      </c>
      <c r="J9" s="29">
        <f t="shared" si="9"/>
        <v>5669325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-28448.980842911878</v>
      </c>
      <c r="O9" s="26">
        <f>-'Parametre - Agendové IS'!E82</f>
        <v>-11379.592337164751</v>
      </c>
      <c r="P9" s="29">
        <f t="shared" si="1"/>
        <v>17069.388505747127</v>
      </c>
      <c r="Q9" s="27">
        <f t="shared" si="5"/>
        <v>4950500</v>
      </c>
      <c r="R9" s="26">
        <f t="shared" si="2"/>
        <v>4248250</v>
      </c>
      <c r="S9" s="29">
        <f t="shared" si="6"/>
        <v>-702250</v>
      </c>
      <c r="T9" s="27">
        <f t="shared" si="7"/>
        <v>-28448.980842911878</v>
      </c>
      <c r="U9" s="26">
        <f t="shared" si="7"/>
        <v>5657945.407662835</v>
      </c>
      <c r="V9" s="29">
        <f t="shared" si="8"/>
        <v>5686394.3885057466</v>
      </c>
    </row>
    <row r="10" spans="1:22" x14ac:dyDescent="0.25">
      <c r="A10" s="33" t="s">
        <v>31</v>
      </c>
      <c r="B10" s="27">
        <f>'Parametre - Agendové IS'!D123</f>
        <v>5500400</v>
      </c>
      <c r="C10" s="27">
        <f>'Parametre - Agendové IS'!E123</f>
        <v>5027950</v>
      </c>
      <c r="D10" s="29">
        <f t="shared" si="3"/>
        <v>-472450</v>
      </c>
      <c r="E10" s="389"/>
      <c r="F10" s="390"/>
      <c r="G10" s="29">
        <f t="shared" si="0"/>
        <v>0</v>
      </c>
      <c r="H10" s="30">
        <v>0</v>
      </c>
      <c r="I10" s="26">
        <f>'Parametre - Agendové IS'!E103</f>
        <v>6653756.25</v>
      </c>
      <c r="J10" s="29">
        <f t="shared" si="9"/>
        <v>6653756.25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-22759.184674329503</v>
      </c>
      <c r="O10" s="26">
        <f>-'Parametre - Agendové IS'!E83</f>
        <v>-9103.6738697318015</v>
      </c>
      <c r="P10" s="29">
        <f t="shared" si="1"/>
        <v>13655.510804597701</v>
      </c>
      <c r="Q10" s="27">
        <f t="shared" si="5"/>
        <v>5500400</v>
      </c>
      <c r="R10" s="26">
        <f t="shared" si="2"/>
        <v>5027950</v>
      </c>
      <c r="S10" s="29">
        <f t="shared" si="6"/>
        <v>-472450</v>
      </c>
      <c r="T10" s="27">
        <f t="shared" si="7"/>
        <v>-22759.184674329503</v>
      </c>
      <c r="U10" s="26">
        <f t="shared" si="7"/>
        <v>6644652.5761302682</v>
      </c>
      <c r="V10" s="29">
        <f t="shared" si="8"/>
        <v>6667411.7608045973</v>
      </c>
    </row>
    <row r="11" spans="1:22" x14ac:dyDescent="0.25">
      <c r="A11" s="33" t="s">
        <v>32</v>
      </c>
      <c r="B11" s="27">
        <f>'Parametre - Agendové IS'!D124</f>
        <v>5830400</v>
      </c>
      <c r="C11" s="27">
        <f>'Parametre - Agendové IS'!E124</f>
        <v>5760200</v>
      </c>
      <c r="D11" s="29">
        <f t="shared" si="3"/>
        <v>-70200</v>
      </c>
      <c r="E11" s="389"/>
      <c r="F11" s="390"/>
      <c r="G11" s="29">
        <f t="shared" si="0"/>
        <v>0</v>
      </c>
      <c r="H11" s="30">
        <v>0</v>
      </c>
      <c r="I11" s="26">
        <f>'Parametre - Agendové IS'!E104</f>
        <v>7534125</v>
      </c>
      <c r="J11" s="29">
        <f t="shared" si="9"/>
        <v>7534125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-22759.184674329503</v>
      </c>
      <c r="O11" s="26">
        <f>-'Parametre - Agendové IS'!E84</f>
        <v>-9103.6738697318015</v>
      </c>
      <c r="P11" s="29">
        <f t="shared" si="1"/>
        <v>13655.510804597701</v>
      </c>
      <c r="Q11" s="27">
        <f t="shared" si="5"/>
        <v>5830400</v>
      </c>
      <c r="R11" s="26">
        <f t="shared" si="2"/>
        <v>5760200</v>
      </c>
      <c r="S11" s="29">
        <f t="shared" si="6"/>
        <v>-70200</v>
      </c>
      <c r="T11" s="27">
        <f t="shared" si="7"/>
        <v>-22759.184674329503</v>
      </c>
      <c r="U11" s="26">
        <f t="shared" si="7"/>
        <v>7525021.3261302682</v>
      </c>
      <c r="V11" s="29">
        <f t="shared" si="8"/>
        <v>7547780.5108045973</v>
      </c>
    </row>
    <row r="12" spans="1:22" x14ac:dyDescent="0.25">
      <c r="A12" s="33" t="s">
        <v>33</v>
      </c>
      <c r="B12" s="27">
        <f>'Parametre - Agendové IS'!D125</f>
        <v>6160400</v>
      </c>
      <c r="C12" s="27">
        <f>'Parametre - Agendové IS'!E125</f>
        <v>6687700</v>
      </c>
      <c r="D12" s="29">
        <f t="shared" si="3"/>
        <v>527300</v>
      </c>
      <c r="E12" s="389"/>
      <c r="F12" s="390"/>
      <c r="G12" s="29">
        <f t="shared" si="0"/>
        <v>0</v>
      </c>
      <c r="H12" s="30">
        <v>0</v>
      </c>
      <c r="I12" s="26">
        <f>'Parametre - Agendové IS'!E105</f>
        <v>9011812.5</v>
      </c>
      <c r="J12" s="29">
        <f t="shared" si="9"/>
        <v>9011812.5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-22759.184674329503</v>
      </c>
      <c r="O12" s="26">
        <f>-'Parametre - Agendové IS'!E85</f>
        <v>-9103.6738697318015</v>
      </c>
      <c r="P12" s="29">
        <f t="shared" si="1"/>
        <v>13655.510804597701</v>
      </c>
      <c r="Q12" s="27">
        <f t="shared" si="5"/>
        <v>6160400</v>
      </c>
      <c r="R12" s="26">
        <f t="shared" si="2"/>
        <v>6687700</v>
      </c>
      <c r="S12" s="29">
        <f t="shared" si="6"/>
        <v>527300</v>
      </c>
      <c r="T12" s="27">
        <f t="shared" si="7"/>
        <v>-22759.184674329503</v>
      </c>
      <c r="U12" s="26">
        <f t="shared" si="7"/>
        <v>9002708.8261302691</v>
      </c>
      <c r="V12" s="29">
        <f t="shared" si="8"/>
        <v>9025468.0108045992</v>
      </c>
    </row>
    <row r="13" spans="1:22" ht="15.6" customHeight="1" thickBot="1" x14ac:dyDescent="0.3">
      <c r="A13" s="33" t="s">
        <v>34</v>
      </c>
      <c r="B13" s="48">
        <f>'Parametre - Agendové IS'!D126</f>
        <v>6380400</v>
      </c>
      <c r="C13" s="48">
        <f>'Parametre - Agendové IS'!E126</f>
        <v>6305200</v>
      </c>
      <c r="D13" s="182">
        <f t="shared" si="3"/>
        <v>-75200</v>
      </c>
      <c r="E13" s="391"/>
      <c r="F13" s="392"/>
      <c r="G13" s="182">
        <f t="shared" si="0"/>
        <v>0</v>
      </c>
      <c r="H13" s="30">
        <v>0</v>
      </c>
      <c r="I13" s="44">
        <f>'Parametre - Agendové IS'!E106</f>
        <v>9143625</v>
      </c>
      <c r="J13" s="182">
        <f t="shared" si="9"/>
        <v>9143625</v>
      </c>
      <c r="K13" s="48">
        <f>'Parametre - Agendové IS'!D136</f>
        <v>0</v>
      </c>
      <c r="L13" s="48">
        <f>'Parametre - Agendové IS'!E136</f>
        <v>0</v>
      </c>
      <c r="M13" s="182">
        <f t="shared" si="4"/>
        <v>0</v>
      </c>
      <c r="N13" s="44">
        <f>-'Parametre - Agendové IS'!D86</f>
        <v>-22759.184674329503</v>
      </c>
      <c r="O13" s="44">
        <f>-'Parametre - Agendové IS'!E86</f>
        <v>-9103.6738697318015</v>
      </c>
      <c r="P13" s="44">
        <f t="shared" si="1"/>
        <v>13655.510804597701</v>
      </c>
      <c r="Q13" s="185">
        <f t="shared" si="5"/>
        <v>6380400</v>
      </c>
      <c r="R13" s="44">
        <f t="shared" si="2"/>
        <v>6305200</v>
      </c>
      <c r="S13" s="182">
        <f>R13-Q13</f>
        <v>-75200</v>
      </c>
      <c r="T13" s="48">
        <f t="shared" si="7"/>
        <v>-22759.184674329503</v>
      </c>
      <c r="U13" s="44">
        <f t="shared" si="7"/>
        <v>9134521.3261302691</v>
      </c>
      <c r="V13" s="182">
        <f t="shared" si="8"/>
        <v>9157280.5108045992</v>
      </c>
    </row>
    <row r="14" spans="1:22" x14ac:dyDescent="0.25">
      <c r="A14" s="186" t="s">
        <v>109</v>
      </c>
      <c r="B14" s="608">
        <f>SUM(B4:B13)</f>
        <v>45327000</v>
      </c>
      <c r="C14" s="608">
        <f t="shared" ref="C14:P14" si="10">SUM(C4:C13)</f>
        <v>41705100</v>
      </c>
      <c r="D14" s="609">
        <f t="shared" si="10"/>
        <v>-3621900</v>
      </c>
      <c r="E14" s="608">
        <f t="shared" si="10"/>
        <v>0</v>
      </c>
      <c r="F14" s="610">
        <f t="shared" si="10"/>
        <v>0</v>
      </c>
      <c r="G14" s="609">
        <f t="shared" si="10"/>
        <v>0</v>
      </c>
      <c r="H14" s="608">
        <f t="shared" si="10"/>
        <v>0</v>
      </c>
      <c r="I14" s="610">
        <f t="shared" si="10"/>
        <v>49632262.5</v>
      </c>
      <c r="J14" s="609">
        <f t="shared" si="10"/>
        <v>49632262.5</v>
      </c>
      <c r="K14" s="608">
        <f t="shared" si="10"/>
        <v>0</v>
      </c>
      <c r="L14" s="608">
        <f t="shared" si="10"/>
        <v>0</v>
      </c>
      <c r="M14" s="609">
        <f t="shared" si="10"/>
        <v>0</v>
      </c>
      <c r="N14" s="610">
        <f t="shared" si="10"/>
        <v>-398285.7318007662</v>
      </c>
      <c r="O14" s="610">
        <f t="shared" si="10"/>
        <v>-234419.6021455939</v>
      </c>
      <c r="P14" s="611">
        <f t="shared" si="10"/>
        <v>163866.12965517241</v>
      </c>
      <c r="Q14" s="612">
        <f t="shared" ref="Q14:V14" si="11">SUM(Q4:Q13)</f>
        <v>45327000</v>
      </c>
      <c r="R14" s="610">
        <f t="shared" si="11"/>
        <v>41705100</v>
      </c>
      <c r="S14" s="613">
        <f t="shared" si="11"/>
        <v>-3621900</v>
      </c>
      <c r="T14" s="612">
        <f t="shared" si="11"/>
        <v>-398285.7318007662</v>
      </c>
      <c r="U14" s="610">
        <f t="shared" si="11"/>
        <v>49397842.89785441</v>
      </c>
      <c r="V14" s="614">
        <f t="shared" si="11"/>
        <v>49796128.629655175</v>
      </c>
    </row>
    <row r="15" spans="1:22" ht="15.75" thickBot="1" x14ac:dyDescent="0.3">
      <c r="A15" s="187" t="s">
        <v>166</v>
      </c>
      <c r="B15" s="615"/>
      <c r="C15" s="615"/>
      <c r="D15" s="616">
        <f>D4+NPV(Faktory!$D$5,'Prínosy - Agendové IS'!D5:D13)</f>
        <v>-3071753.9733626279</v>
      </c>
      <c r="E15" s="617"/>
      <c r="F15" s="618"/>
      <c r="G15" s="616">
        <f>G4+NPV(Faktory!$D$3,'Prínosy - Agendové IS'!G5:G13)</f>
        <v>0</v>
      </c>
      <c r="H15" s="617"/>
      <c r="I15" s="618"/>
      <c r="J15" s="616">
        <f>J4+NPV(Faktory!$D$5,'Prínosy - Agendové IS'!J5:J13)</f>
        <v>36730040.012014061</v>
      </c>
      <c r="K15" s="615"/>
      <c r="L15" s="615"/>
      <c r="M15" s="616">
        <f>M4+NPV(Faktory!$D$5,'Prínosy - Agendové IS'!M5:M13)</f>
        <v>0</v>
      </c>
      <c r="N15" s="618"/>
      <c r="O15" s="618"/>
      <c r="P15" s="619">
        <f>P4+NPV(Faktory!$D$5,'Prínosy - Agendové IS'!P5:P13)</f>
        <v>131864.84233984904</v>
      </c>
      <c r="Q15" s="620"/>
      <c r="R15" s="618"/>
      <c r="S15" s="616">
        <f>S4+NPV(Faktory!$D$5,'Prínosy - Agendové IS'!S5:S13)</f>
        <v>-3071753.9733626279</v>
      </c>
      <c r="T15" s="620"/>
      <c r="U15" s="618"/>
      <c r="V15" s="616">
        <f>V4+NPV(Faktory!$D$5,'Prínosy - Agendové IS'!V5:V13)</f>
        <v>36861904.854353905</v>
      </c>
    </row>
    <row r="17" spans="2:2" x14ac:dyDescent="0.25">
      <c r="B17" s="108" t="s">
        <v>183</v>
      </c>
    </row>
    <row r="38" spans="15:15" x14ac:dyDescent="0.25">
      <c r="O38" s="184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view="pageBreakPreview" topLeftCell="B1" zoomScale="60" zoomScaleNormal="80" workbookViewId="0">
      <selection activeCell="Q9" sqref="Q9"/>
    </sheetView>
  </sheetViews>
  <sheetFormatPr defaultColWidth="8.85546875" defaultRowHeight="15" x14ac:dyDescent="0.25"/>
  <cols>
    <col min="2" max="2" width="14.28515625" customWidth="1"/>
    <col min="3" max="3" width="15.85546875" bestFit="1" customWidth="1"/>
    <col min="4" max="4" width="16.7109375" bestFit="1" customWidth="1"/>
    <col min="5" max="6" width="13.42578125" bestFit="1" customWidth="1"/>
    <col min="7" max="7" width="16.7109375" bestFit="1" customWidth="1"/>
    <col min="8" max="8" width="14.42578125" bestFit="1" customWidth="1"/>
    <col min="9" max="9" width="13.42578125" bestFit="1" customWidth="1"/>
    <col min="10" max="10" width="16.7109375" bestFit="1" customWidth="1"/>
    <col min="11" max="16" width="16.7109375" customWidth="1"/>
    <col min="17" max="17" width="13.42578125" bestFit="1" customWidth="1"/>
    <col min="18" max="18" width="15.85546875" bestFit="1" customWidth="1"/>
    <col min="19" max="19" width="15.28515625" customWidth="1"/>
    <col min="20" max="21" width="17" bestFit="1" customWidth="1"/>
    <col min="22" max="22" width="14.28515625" bestFit="1" customWidth="1"/>
  </cols>
  <sheetData>
    <row r="1" spans="1:23" ht="15.75" customHeight="1" thickBot="1" x14ac:dyDescent="0.3">
      <c r="A1" s="38"/>
      <c r="B1" s="718" t="s">
        <v>196</v>
      </c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20"/>
      <c r="N1" s="718" t="s">
        <v>336</v>
      </c>
      <c r="O1" s="719"/>
      <c r="P1" s="720"/>
      <c r="Q1" s="717" t="s">
        <v>71</v>
      </c>
      <c r="R1" s="717"/>
      <c r="S1" s="717"/>
      <c r="T1" s="694" t="s">
        <v>72</v>
      </c>
      <c r="U1" s="695"/>
      <c r="V1" s="696"/>
    </row>
    <row r="2" spans="1:23" ht="15.75" customHeight="1" thickBot="1" x14ac:dyDescent="0.3">
      <c r="A2" s="8"/>
      <c r="B2" s="695" t="s">
        <v>68</v>
      </c>
      <c r="C2" s="695"/>
      <c r="D2" s="696"/>
      <c r="E2" s="695" t="s">
        <v>69</v>
      </c>
      <c r="F2" s="695"/>
      <c r="G2" s="696"/>
      <c r="H2" s="695" t="s">
        <v>111</v>
      </c>
      <c r="I2" s="695"/>
      <c r="J2" s="696"/>
      <c r="K2" s="695" t="s">
        <v>373</v>
      </c>
      <c r="L2" s="695"/>
      <c r="M2" s="696"/>
      <c r="N2" s="695"/>
      <c r="O2" s="695"/>
      <c r="P2" s="696"/>
      <c r="Q2" s="695" t="s">
        <v>70</v>
      </c>
      <c r="R2" s="695"/>
      <c r="S2" s="696"/>
      <c r="T2" s="8"/>
      <c r="U2" s="8"/>
      <c r="V2" s="39"/>
    </row>
    <row r="3" spans="1:23" ht="19.350000000000001" customHeight="1" thickBot="1" x14ac:dyDescent="0.3">
      <c r="A3" s="41" t="s">
        <v>23</v>
      </c>
      <c r="B3" s="42" t="s">
        <v>243</v>
      </c>
      <c r="C3" s="42" t="s">
        <v>180</v>
      </c>
      <c r="D3" s="43" t="s">
        <v>24</v>
      </c>
      <c r="E3" s="42" t="s">
        <v>243</v>
      </c>
      <c r="F3" s="42" t="s">
        <v>180</v>
      </c>
      <c r="G3" s="43" t="s">
        <v>24</v>
      </c>
      <c r="H3" s="42" t="s">
        <v>243</v>
      </c>
      <c r="I3" s="42" t="s">
        <v>180</v>
      </c>
      <c r="J3" s="43" t="s">
        <v>24</v>
      </c>
      <c r="K3" s="42" t="s">
        <v>243</v>
      </c>
      <c r="L3" s="42" t="s">
        <v>180</v>
      </c>
      <c r="M3" s="43" t="s">
        <v>24</v>
      </c>
      <c r="N3" s="42" t="s">
        <v>243</v>
      </c>
      <c r="O3" s="42" t="s">
        <v>180</v>
      </c>
      <c r="P3" s="43" t="s">
        <v>24</v>
      </c>
      <c r="Q3" s="42" t="s">
        <v>243</v>
      </c>
      <c r="R3" s="42" t="s">
        <v>180</v>
      </c>
      <c r="S3" s="43" t="s">
        <v>24</v>
      </c>
      <c r="T3" s="42" t="s">
        <v>243</v>
      </c>
      <c r="U3" s="42" t="s">
        <v>180</v>
      </c>
      <c r="V3" s="43" t="s">
        <v>24</v>
      </c>
    </row>
    <row r="4" spans="1:23" x14ac:dyDescent="0.25">
      <c r="A4" s="25" t="s">
        <v>25</v>
      </c>
      <c r="B4" s="26">
        <f>TCO!D26+TCO!D27</f>
        <v>0</v>
      </c>
      <c r="C4" s="26">
        <f>(TCO!D$12*(1+$W$5))+TCO!D$13</f>
        <v>9900000</v>
      </c>
      <c r="D4" s="34">
        <f>C4-B4</f>
        <v>9900000</v>
      </c>
      <c r="E4" s="27">
        <f>TCO!D22+TCO!D23</f>
        <v>0</v>
      </c>
      <c r="F4" s="26">
        <f>(TCO!D$7*(1+$W$5))+TCO!D$8</f>
        <v>9000000</v>
      </c>
      <c r="G4" s="34">
        <f>F4-E4</f>
        <v>9000000</v>
      </c>
      <c r="H4" s="26">
        <f>TCO!D24+TCO!D25</f>
        <v>0</v>
      </c>
      <c r="I4" s="26">
        <f>(TCO!D$9*(1+$W$5))+TCO!D$10</f>
        <v>8646724</v>
      </c>
      <c r="J4" s="34">
        <f>I4-H4</f>
        <v>8646724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0</v>
      </c>
      <c r="P4" s="34">
        <f>O4-N4</f>
        <v>0</v>
      </c>
      <c r="Q4" s="27">
        <f>'Parametre - Agendové IS'!D107</f>
        <v>1958890</v>
      </c>
      <c r="R4" s="27">
        <f>'Parametre - Agendové IS'!E107</f>
        <v>1958890</v>
      </c>
      <c r="S4" s="34">
        <f t="shared" ref="S4:S13" si="0">IF(ISERR(R4-Q4),"-",R4-Q4)</f>
        <v>0</v>
      </c>
      <c r="T4" s="26">
        <f>SUM(B4,E4,H4,K4,N4,Q4)</f>
        <v>1958890</v>
      </c>
      <c r="U4" s="26">
        <f>((C4+F4+L4+O4+I4)*(1+$W$4))+R4</f>
        <v>29505614</v>
      </c>
      <c r="V4" s="34">
        <f>U4-T4</f>
        <v>27546724</v>
      </c>
      <c r="W4" s="226">
        <f>'Analyza citlivosti - AgendovéIS'!B7</f>
        <v>0</v>
      </c>
    </row>
    <row r="5" spans="1:23" x14ac:dyDescent="0.25">
      <c r="A5" s="25" t="s">
        <v>26</v>
      </c>
      <c r="B5" s="26">
        <f>TCO!E26+TCO!E27</f>
        <v>0</v>
      </c>
      <c r="C5" s="26">
        <f>(TCO!E$12*(1+$W$5))+TCO!E$13</f>
        <v>2380000</v>
      </c>
      <c r="D5" s="29">
        <f t="shared" ref="D5:D13" si="1">C5-B5</f>
        <v>2380000</v>
      </c>
      <c r="E5" s="27">
        <f>TCO!E22+TCO!E23</f>
        <v>0</v>
      </c>
      <c r="F5" s="26">
        <f>(TCO!E$7*(1+$W$5))+TCO!E$8</f>
        <v>9000000</v>
      </c>
      <c r="G5" s="29">
        <f t="shared" ref="G5:G13" si="2">F5-E5</f>
        <v>9000000</v>
      </c>
      <c r="H5" s="26">
        <f>TCO!E24+TCO!E25</f>
        <v>0</v>
      </c>
      <c r="I5" s="26">
        <f>(TCO!E$9*(1+$W$5))+TCO!E$10</f>
        <v>4450444</v>
      </c>
      <c r="J5" s="29">
        <f t="shared" ref="J5:J13" si="3">I5-H5</f>
        <v>4450444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0</v>
      </c>
      <c r="P5" s="29">
        <f t="shared" ref="P5:P13" si="5">O5-N5</f>
        <v>0</v>
      </c>
      <c r="Q5" s="27">
        <f>'Parametre - Agendové IS'!D108</f>
        <v>2448568</v>
      </c>
      <c r="R5" s="27">
        <f>'Parametre - Agendové IS'!E108</f>
        <v>2742268</v>
      </c>
      <c r="S5" s="29">
        <f t="shared" si="0"/>
        <v>293700</v>
      </c>
      <c r="T5" s="26">
        <f t="shared" ref="T5:T13" si="6">SUM(B5,E5,H5,K5,N5,Q5)</f>
        <v>2448568</v>
      </c>
      <c r="U5" s="26">
        <f t="shared" ref="U5:U13" si="7">((C5+F5+L5+O5+I5)*(1+$W$4))+R5</f>
        <v>18572712</v>
      </c>
      <c r="V5" s="29">
        <f t="shared" ref="V5:V13" si="8">U5-T5</f>
        <v>16124144</v>
      </c>
      <c r="W5" s="226">
        <f>'Analyza citlivosti - AgendovéIS'!E7</f>
        <v>0</v>
      </c>
    </row>
    <row r="6" spans="1:23" x14ac:dyDescent="0.25">
      <c r="A6" s="25" t="s">
        <v>27</v>
      </c>
      <c r="B6" s="26">
        <f>TCO!F26+TCO!F27</f>
        <v>0</v>
      </c>
      <c r="C6" s="26">
        <f>(TCO!F$12*(1+$W$5))+TCO!F$13</f>
        <v>2380000</v>
      </c>
      <c r="D6" s="29">
        <f t="shared" si="1"/>
        <v>2380000</v>
      </c>
      <c r="E6" s="27">
        <f>TCO!F22+TCO!F23</f>
        <v>0</v>
      </c>
      <c r="F6" s="26">
        <f>(TCO!F$7*(1+$W$5))+TCO!F$8</f>
        <v>7000000</v>
      </c>
      <c r="G6" s="29">
        <f t="shared" si="2"/>
        <v>7000000</v>
      </c>
      <c r="H6" s="26">
        <f>TCO!F24+TCO!F25</f>
        <v>0</v>
      </c>
      <c r="I6" s="26">
        <f>(TCO!F$9*(1+$W$5))+TCO!F$10</f>
        <v>3539236</v>
      </c>
      <c r="J6" s="29">
        <f t="shared" si="3"/>
        <v>3539236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IS'!D109</f>
        <v>2938068</v>
      </c>
      <c r="R6" s="27">
        <f>'Parametre - Agendové IS'!E109</f>
        <v>851240</v>
      </c>
      <c r="S6" s="29">
        <f t="shared" si="0"/>
        <v>-2086828</v>
      </c>
      <c r="T6" s="26">
        <f t="shared" si="6"/>
        <v>2938068</v>
      </c>
      <c r="U6" s="26">
        <f t="shared" si="7"/>
        <v>13770476</v>
      </c>
      <c r="V6" s="29">
        <f t="shared" si="8"/>
        <v>10832408</v>
      </c>
    </row>
    <row r="7" spans="1:23" x14ac:dyDescent="0.25">
      <c r="A7" s="25" t="s">
        <v>28</v>
      </c>
      <c r="B7" s="26">
        <f>TCO!G26+TCO!G27</f>
        <v>0</v>
      </c>
      <c r="C7" s="26">
        <f>(TCO!G$12*(1+$W$5))+TCO!G$13</f>
        <v>3680000</v>
      </c>
      <c r="D7" s="29">
        <f t="shared" si="1"/>
        <v>3680000</v>
      </c>
      <c r="E7" s="27">
        <f>TCO!G22+TCO!G23</f>
        <v>0</v>
      </c>
      <c r="F7" s="26">
        <f>(TCO!G$7*(1+$W$5))+TCO!G$8</f>
        <v>7000000</v>
      </c>
      <c r="G7" s="29">
        <f t="shared" si="2"/>
        <v>7000000</v>
      </c>
      <c r="H7" s="26">
        <f>TCO!G24+TCO!G25</f>
        <v>0</v>
      </c>
      <c r="I7" s="26">
        <f>(TCO!G$9*(1+$W$5))+TCO!G$10</f>
        <v>3539236</v>
      </c>
      <c r="J7" s="29">
        <f t="shared" si="3"/>
        <v>3539236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3427301</v>
      </c>
      <c r="R7" s="27">
        <f>'Parametre - Agendové IS'!E110</f>
        <v>1113780</v>
      </c>
      <c r="S7" s="29">
        <f t="shared" si="0"/>
        <v>-2313521</v>
      </c>
      <c r="T7" s="26">
        <f t="shared" si="6"/>
        <v>3427301</v>
      </c>
      <c r="U7" s="26">
        <f t="shared" si="7"/>
        <v>15333016</v>
      </c>
      <c r="V7" s="29">
        <f t="shared" si="8"/>
        <v>11905715</v>
      </c>
    </row>
    <row r="8" spans="1:23" x14ac:dyDescent="0.25">
      <c r="A8" s="25" t="s">
        <v>29</v>
      </c>
      <c r="B8" s="26">
        <f>TCO!H26+TCO!H27</f>
        <v>0</v>
      </c>
      <c r="C8" s="26">
        <f>(TCO!H$12*(1+$W$5))+TCO!H$13</f>
        <v>4760000</v>
      </c>
      <c r="D8" s="29">
        <f t="shared" si="1"/>
        <v>4760000</v>
      </c>
      <c r="E8" s="27">
        <f>TCO!H22+TCO!H23</f>
        <v>0</v>
      </c>
      <c r="F8" s="26">
        <f>(TCO!H$7*(1+$W$5))+TCO!H$8</f>
        <v>7000000</v>
      </c>
      <c r="G8" s="29">
        <f t="shared" si="2"/>
        <v>7000000</v>
      </c>
      <c r="H8" s="26">
        <f>TCO!H24+TCO!H25</f>
        <v>0</v>
      </c>
      <c r="I8" s="26">
        <f>(TCO!H$9*(1+$W$5))+TCO!H$10</f>
        <v>3539236</v>
      </c>
      <c r="J8" s="29">
        <f t="shared" si="3"/>
        <v>3539236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3916534</v>
      </c>
      <c r="R8" s="27">
        <f>'Parametre - Agendové IS'!E111</f>
        <v>1392420</v>
      </c>
      <c r="S8" s="29">
        <f t="shared" si="0"/>
        <v>-2524114</v>
      </c>
      <c r="T8" s="26">
        <f t="shared" si="6"/>
        <v>3916534</v>
      </c>
      <c r="U8" s="26">
        <f t="shared" si="7"/>
        <v>16691656</v>
      </c>
      <c r="V8" s="29">
        <f t="shared" si="8"/>
        <v>12775122</v>
      </c>
    </row>
    <row r="9" spans="1:23" x14ac:dyDescent="0.25">
      <c r="A9" s="25" t="s">
        <v>30</v>
      </c>
      <c r="B9" s="26">
        <f>TCO!I26+TCO!I27</f>
        <v>0</v>
      </c>
      <c r="C9" s="26">
        <f>(TCO!I$12*(1+$W$5))+TCO!I$13</f>
        <v>4760000</v>
      </c>
      <c r="D9" s="29">
        <f t="shared" si="1"/>
        <v>4760000</v>
      </c>
      <c r="E9" s="27">
        <f>TCO!I22+TCO!I23</f>
        <v>0</v>
      </c>
      <c r="F9" s="26">
        <f>(TCO!I$7*(1+$W$5))+TCO!I$8</f>
        <v>7000000</v>
      </c>
      <c r="G9" s="29">
        <f t="shared" si="2"/>
        <v>7000000</v>
      </c>
      <c r="H9" s="26">
        <f>TCO!I24+TCO!I25</f>
        <v>0</v>
      </c>
      <c r="I9" s="26">
        <f>(TCO!I$9*(1+$W$5))+TCO!I$10</f>
        <v>3539236</v>
      </c>
      <c r="J9" s="29">
        <f t="shared" si="3"/>
        <v>3539236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4405945</v>
      </c>
      <c r="R9" s="27">
        <f>'Parametre - Agendové IS'!E112</f>
        <v>1699300</v>
      </c>
      <c r="S9" s="29">
        <f t="shared" si="0"/>
        <v>-2706645</v>
      </c>
      <c r="T9" s="26">
        <f t="shared" si="6"/>
        <v>4405945</v>
      </c>
      <c r="U9" s="26">
        <f t="shared" si="7"/>
        <v>16998536</v>
      </c>
      <c r="V9" s="29">
        <f t="shared" si="8"/>
        <v>12592591</v>
      </c>
    </row>
    <row r="10" spans="1:23" x14ac:dyDescent="0.25">
      <c r="A10" s="25" t="s">
        <v>31</v>
      </c>
      <c r="B10" s="26">
        <f>TCO!J26+TCO!J27</f>
        <v>0</v>
      </c>
      <c r="C10" s="26">
        <f>(TCO!J$12*(1+$W$5))+TCO!J$13</f>
        <v>4760000</v>
      </c>
      <c r="D10" s="29">
        <f t="shared" si="1"/>
        <v>4760000</v>
      </c>
      <c r="E10" s="27">
        <f>TCO!J22+TCO!J23</f>
        <v>0</v>
      </c>
      <c r="F10" s="26">
        <f>(TCO!J$7*(1+$W$5))+TCO!J$8</f>
        <v>7000000</v>
      </c>
      <c r="G10" s="29">
        <f t="shared" si="2"/>
        <v>7000000</v>
      </c>
      <c r="H10" s="26">
        <f>TCO!J24+TCO!J25</f>
        <v>0</v>
      </c>
      <c r="I10" s="26">
        <f>(TCO!J$9*(1+$W$5))+TCO!J$10</f>
        <v>3539236</v>
      </c>
      <c r="J10" s="29">
        <f t="shared" si="3"/>
        <v>3539236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4895356</v>
      </c>
      <c r="R10" s="27">
        <f>'Parametre - Agendové IS'!E113</f>
        <v>2011180</v>
      </c>
      <c r="S10" s="29">
        <f t="shared" si="0"/>
        <v>-2884176</v>
      </c>
      <c r="T10" s="26">
        <f t="shared" si="6"/>
        <v>4895356</v>
      </c>
      <c r="U10" s="26">
        <f t="shared" si="7"/>
        <v>17310416</v>
      </c>
      <c r="V10" s="29">
        <f t="shared" si="8"/>
        <v>12415060</v>
      </c>
    </row>
    <row r="11" spans="1:23" x14ac:dyDescent="0.25">
      <c r="A11" s="25" t="s">
        <v>32</v>
      </c>
      <c r="B11" s="26">
        <f>TCO!K26+TCO!K27</f>
        <v>0</v>
      </c>
      <c r="C11" s="26">
        <f>(TCO!K$12*(1+$W$5))+TCO!K$13</f>
        <v>4760000</v>
      </c>
      <c r="D11" s="29">
        <f t="shared" si="1"/>
        <v>4760000</v>
      </c>
      <c r="E11" s="27">
        <f>TCO!K22+TCO!K23</f>
        <v>0</v>
      </c>
      <c r="F11" s="26">
        <f>(TCO!K$7*(1+$W$5))+TCO!K$8</f>
        <v>7000000</v>
      </c>
      <c r="G11" s="29">
        <f t="shared" si="2"/>
        <v>7000000</v>
      </c>
      <c r="H11" s="26">
        <f>TCO!K24+TCO!K25</f>
        <v>0</v>
      </c>
      <c r="I11" s="26">
        <f>(TCO!K$9*(1+$W$5))+TCO!K$10</f>
        <v>3539236</v>
      </c>
      <c r="J11" s="29">
        <f t="shared" si="3"/>
        <v>3539236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5189056</v>
      </c>
      <c r="R11" s="27">
        <f>'Parametre - Agendové IS'!E114</f>
        <v>2304080</v>
      </c>
      <c r="S11" s="29">
        <f t="shared" si="0"/>
        <v>-2884976</v>
      </c>
      <c r="T11" s="26">
        <f t="shared" si="6"/>
        <v>5189056</v>
      </c>
      <c r="U11" s="26">
        <f t="shared" si="7"/>
        <v>17603316</v>
      </c>
      <c r="V11" s="29">
        <f t="shared" si="8"/>
        <v>12414260</v>
      </c>
    </row>
    <row r="12" spans="1:23" x14ac:dyDescent="0.25">
      <c r="A12" s="25" t="s">
        <v>33</v>
      </c>
      <c r="B12" s="26">
        <f>TCO!L26+TCO!L27</f>
        <v>0</v>
      </c>
      <c r="C12" s="26">
        <f>(TCO!L$12*(1+$W$5))+TCO!L$13</f>
        <v>4760000</v>
      </c>
      <c r="D12" s="29">
        <f t="shared" si="1"/>
        <v>4760000</v>
      </c>
      <c r="E12" s="27">
        <f>TCO!L22+TCO!L23</f>
        <v>0</v>
      </c>
      <c r="F12" s="26">
        <f>(TCO!L$7*(1+$W$5))+TCO!L$8</f>
        <v>7000000</v>
      </c>
      <c r="G12" s="29">
        <f t="shared" si="2"/>
        <v>7000000</v>
      </c>
      <c r="H12" s="26">
        <f>TCO!L24+TCO!L25</f>
        <v>0</v>
      </c>
      <c r="I12" s="26">
        <f>(TCO!L$9*(1+$W$5))+TCO!L$10</f>
        <v>3539236</v>
      </c>
      <c r="J12" s="29">
        <f t="shared" si="3"/>
        <v>3539236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5482756</v>
      </c>
      <c r="R12" s="27">
        <f>'Parametre - Agendové IS'!E115</f>
        <v>2675080</v>
      </c>
      <c r="S12" s="29">
        <f t="shared" si="0"/>
        <v>-2807676</v>
      </c>
      <c r="T12" s="26">
        <f t="shared" si="6"/>
        <v>5482756</v>
      </c>
      <c r="U12" s="26">
        <f t="shared" si="7"/>
        <v>17974316</v>
      </c>
      <c r="V12" s="29">
        <f t="shared" si="8"/>
        <v>12491560</v>
      </c>
    </row>
    <row r="13" spans="1:23" ht="15.75" thickBot="1" x14ac:dyDescent="0.3">
      <c r="A13" s="40" t="s">
        <v>34</v>
      </c>
      <c r="B13" s="44">
        <f>TCO!M26+TCO!M27</f>
        <v>0</v>
      </c>
      <c r="C13" s="44">
        <f>(TCO!M$12*(1+$W$5))+TCO!M$13</f>
        <v>4760000</v>
      </c>
      <c r="D13" s="182">
        <f t="shared" si="1"/>
        <v>4760000</v>
      </c>
      <c r="E13" s="48">
        <f>TCO!M22+TCO!M23</f>
        <v>0</v>
      </c>
      <c r="F13" s="44">
        <f>(TCO!M$7*(1+$W$5))+TCO!M$8</f>
        <v>7000000</v>
      </c>
      <c r="G13" s="182">
        <f t="shared" si="2"/>
        <v>7000000</v>
      </c>
      <c r="H13" s="44">
        <f>TCO!M24+TCO!M25</f>
        <v>0</v>
      </c>
      <c r="I13" s="44">
        <f>(TCO!M$9*(1+$W$5))+TCO!M$10</f>
        <v>3539236</v>
      </c>
      <c r="J13" s="182">
        <f t="shared" si="3"/>
        <v>3539236</v>
      </c>
      <c r="K13" s="48">
        <v>0</v>
      </c>
      <c r="L13" s="48">
        <f>TCO!M11</f>
        <v>0</v>
      </c>
      <c r="M13" s="182">
        <f t="shared" si="4"/>
        <v>0</v>
      </c>
      <c r="N13" s="48">
        <v>0</v>
      </c>
      <c r="O13" s="48">
        <f>TCO!M14</f>
        <v>0</v>
      </c>
      <c r="P13" s="182">
        <f t="shared" si="5"/>
        <v>0</v>
      </c>
      <c r="Q13" s="48">
        <f>'Parametre - Agendové IS'!D116</f>
        <v>5678556</v>
      </c>
      <c r="R13" s="48">
        <f>'Parametre - Agendové IS'!E116</f>
        <v>2522080</v>
      </c>
      <c r="S13" s="182">
        <f t="shared" si="0"/>
        <v>-3156476</v>
      </c>
      <c r="T13" s="26">
        <f t="shared" si="6"/>
        <v>5678556</v>
      </c>
      <c r="U13" s="26">
        <f t="shared" si="7"/>
        <v>17821316</v>
      </c>
      <c r="V13" s="182">
        <f t="shared" si="8"/>
        <v>12142760</v>
      </c>
    </row>
    <row r="14" spans="1:23" x14ac:dyDescent="0.25">
      <c r="A14" s="621" t="s">
        <v>109</v>
      </c>
      <c r="B14" s="612">
        <f>SUM(B4:B13)</f>
        <v>0</v>
      </c>
      <c r="C14" s="610">
        <f t="shared" ref="C14:S14" si="9">SUM(C4:C13)</f>
        <v>46900000</v>
      </c>
      <c r="D14" s="609">
        <f t="shared" si="9"/>
        <v>46900000</v>
      </c>
      <c r="E14" s="612">
        <f t="shared" si="9"/>
        <v>0</v>
      </c>
      <c r="F14" s="610">
        <f t="shared" si="9"/>
        <v>74000000</v>
      </c>
      <c r="G14" s="609">
        <f t="shared" si="9"/>
        <v>74000000</v>
      </c>
      <c r="H14" s="612">
        <f t="shared" si="9"/>
        <v>0</v>
      </c>
      <c r="I14" s="610">
        <f t="shared" si="9"/>
        <v>41411056</v>
      </c>
      <c r="J14" s="609">
        <f t="shared" si="9"/>
        <v>41411056</v>
      </c>
      <c r="K14" s="612">
        <f t="shared" ref="K14:P14" si="10">SUM(K4:K13)</f>
        <v>0</v>
      </c>
      <c r="L14" s="610">
        <f t="shared" si="10"/>
        <v>0</v>
      </c>
      <c r="M14" s="609">
        <f t="shared" si="10"/>
        <v>0</v>
      </c>
      <c r="N14" s="612">
        <f t="shared" si="10"/>
        <v>0</v>
      </c>
      <c r="O14" s="610">
        <f t="shared" si="10"/>
        <v>0</v>
      </c>
      <c r="P14" s="609">
        <f t="shared" si="10"/>
        <v>0</v>
      </c>
      <c r="Q14" s="612">
        <f t="shared" si="9"/>
        <v>40341030</v>
      </c>
      <c r="R14" s="610">
        <f t="shared" si="9"/>
        <v>19270318</v>
      </c>
      <c r="S14" s="609">
        <f t="shared" si="9"/>
        <v>-21070712</v>
      </c>
      <c r="T14" s="622">
        <f>SUM(T4:T13)</f>
        <v>40341030</v>
      </c>
      <c r="U14" s="623">
        <f>SUM(U4:U13)</f>
        <v>181581374</v>
      </c>
      <c r="V14" s="624">
        <f>SUM(V4:V13)</f>
        <v>141240344</v>
      </c>
    </row>
    <row r="15" spans="1:23" ht="15.75" thickBot="1" x14ac:dyDescent="0.3">
      <c r="A15" s="621" t="s">
        <v>166</v>
      </c>
      <c r="B15" s="620"/>
      <c r="C15" s="618"/>
      <c r="D15" s="616">
        <f>D4+NPV(Faktory!$D$5,D5:D13)</f>
        <v>38374889.744254872</v>
      </c>
      <c r="E15" s="620"/>
      <c r="F15" s="618"/>
      <c r="G15" s="616">
        <f>G4+NPV(Faktory!$D$5,G5:G13)</f>
        <v>60659513.634270273</v>
      </c>
      <c r="H15" s="620"/>
      <c r="I15" s="618"/>
      <c r="J15" s="616">
        <f>J4+NPV(Faktory!$D$5,J5:J13)</f>
        <v>34670799.498876892</v>
      </c>
      <c r="K15" s="620"/>
      <c r="L15" s="618"/>
      <c r="M15" s="616">
        <f>M4+NPV(Faktory!$D$5,M5:M13)</f>
        <v>0</v>
      </c>
      <c r="N15" s="620"/>
      <c r="O15" s="618"/>
      <c r="P15" s="616">
        <f>P4+NPV(Faktory!$D$5,P5:P13)</f>
        <v>0</v>
      </c>
      <c r="Q15" s="620"/>
      <c r="R15" s="618"/>
      <c r="S15" s="616">
        <f>S4+NPV(Faktory!$D$5,S5:S13)</f>
        <v>-15946481.991781428</v>
      </c>
      <c r="T15" s="625"/>
      <c r="U15" s="626"/>
      <c r="V15" s="627">
        <f>V4+NPV(Faktory!$D$5,V5:V13)</f>
        <v>117758720.88562061</v>
      </c>
    </row>
    <row r="16" spans="1:23" x14ac:dyDescent="0.25">
      <c r="A16" s="146"/>
      <c r="B16" s="146"/>
      <c r="C16" s="146"/>
      <c r="D16" s="162"/>
      <c r="E16" s="146"/>
      <c r="F16" s="146"/>
      <c r="G16" s="162"/>
      <c r="H16" s="146"/>
      <c r="I16" s="146"/>
      <c r="J16" s="162"/>
      <c r="K16" s="162"/>
      <c r="L16" s="162"/>
      <c r="M16" s="162"/>
      <c r="N16" s="162"/>
      <c r="O16" s="162"/>
      <c r="P16" s="162"/>
      <c r="Q16" s="146"/>
      <c r="R16" s="146"/>
      <c r="S16" s="162"/>
      <c r="T16" s="183"/>
      <c r="U16" s="183"/>
      <c r="V16" s="183"/>
    </row>
    <row r="17" spans="1:2" x14ac:dyDescent="0.25">
      <c r="A17" s="107"/>
      <c r="B17" s="108" t="s">
        <v>184</v>
      </c>
    </row>
    <row r="22" spans="1:2" x14ac:dyDescent="0.25">
      <c r="B22" s="184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S136"/>
  <sheetViews>
    <sheetView view="pageBreakPreview" zoomScale="60" zoomScaleNormal="80" workbookViewId="0">
      <selection activeCell="D5" sqref="D5"/>
    </sheetView>
  </sheetViews>
  <sheetFormatPr defaultColWidth="9.140625" defaultRowHeight="15" x14ac:dyDescent="0.25"/>
  <cols>
    <col min="1" max="1" width="19.140625" style="420" customWidth="1"/>
    <col min="2" max="2" width="9.85546875" style="420" bestFit="1" customWidth="1"/>
    <col min="3" max="3" width="8.85546875" style="420" bestFit="1" customWidth="1"/>
    <col min="4" max="4" width="14.42578125" style="420" bestFit="1" customWidth="1"/>
    <col min="5" max="5" width="15.7109375" style="420" bestFit="1" customWidth="1"/>
    <col min="6" max="6" width="14.42578125" style="420" bestFit="1" customWidth="1"/>
    <col min="7" max="7" width="14.42578125" style="466" bestFit="1" customWidth="1"/>
    <col min="8" max="8" width="14.7109375" style="523" customWidth="1"/>
    <col min="9" max="9" width="14.42578125" style="466" bestFit="1" customWidth="1"/>
    <col min="10" max="10" width="12.85546875" style="420" bestFit="1" customWidth="1"/>
    <col min="11" max="11" width="14.42578125" style="420" bestFit="1" customWidth="1"/>
    <col min="12" max="12" width="12.85546875" style="420" bestFit="1" customWidth="1"/>
    <col min="13" max="13" width="10.28515625" style="524" customWidth="1"/>
    <col min="14" max="14" width="14.42578125" style="523" bestFit="1" customWidth="1"/>
    <col min="15" max="15" width="14.42578125" style="466" bestFit="1" customWidth="1"/>
    <col min="16" max="16" width="10.28515625" style="524" customWidth="1"/>
    <col min="17" max="17" width="10.28515625" style="523" customWidth="1"/>
    <col min="18" max="18" width="10.28515625" style="466" customWidth="1"/>
    <col min="19" max="19" width="14.7109375" style="501" customWidth="1"/>
    <col min="20" max="22" width="9.140625" style="420"/>
    <col min="23" max="23" width="12.42578125" style="420" bestFit="1" customWidth="1"/>
    <col min="24" max="258" width="9.140625" style="420"/>
    <col min="259" max="259" width="1.7109375" style="420" customWidth="1"/>
    <col min="260" max="260" width="19.140625" style="420" customWidth="1"/>
    <col min="261" max="261" width="35.140625" style="420" customWidth="1"/>
    <col min="262" max="262" width="9.85546875" style="420" bestFit="1" customWidth="1"/>
    <col min="263" max="263" width="8.85546875" style="420" bestFit="1" customWidth="1"/>
    <col min="264" max="274" width="10.28515625" style="420" customWidth="1"/>
    <col min="275" max="514" width="9.140625" style="420"/>
    <col min="515" max="515" width="1.7109375" style="420" customWidth="1"/>
    <col min="516" max="516" width="19.140625" style="420" customWidth="1"/>
    <col min="517" max="517" width="35.140625" style="420" customWidth="1"/>
    <col min="518" max="518" width="9.85546875" style="420" bestFit="1" customWidth="1"/>
    <col min="519" max="519" width="8.85546875" style="420" bestFit="1" customWidth="1"/>
    <col min="520" max="530" width="10.28515625" style="420" customWidth="1"/>
    <col min="531" max="770" width="9.140625" style="420"/>
    <col min="771" max="771" width="1.7109375" style="420" customWidth="1"/>
    <col min="772" max="772" width="19.140625" style="420" customWidth="1"/>
    <col min="773" max="773" width="35.140625" style="420" customWidth="1"/>
    <col min="774" max="774" width="9.85546875" style="420" bestFit="1" customWidth="1"/>
    <col min="775" max="775" width="8.85546875" style="420" bestFit="1" customWidth="1"/>
    <col min="776" max="786" width="10.28515625" style="420" customWidth="1"/>
    <col min="787" max="1026" width="9.140625" style="420"/>
    <col min="1027" max="1027" width="1.7109375" style="420" customWidth="1"/>
    <col min="1028" max="1028" width="19.140625" style="420" customWidth="1"/>
    <col min="1029" max="1029" width="35.140625" style="420" customWidth="1"/>
    <col min="1030" max="1030" width="9.85546875" style="420" bestFit="1" customWidth="1"/>
    <col min="1031" max="1031" width="8.85546875" style="420" bestFit="1" customWidth="1"/>
    <col min="1032" max="1042" width="10.28515625" style="420" customWidth="1"/>
    <col min="1043" max="1282" width="9.140625" style="420"/>
    <col min="1283" max="1283" width="1.7109375" style="420" customWidth="1"/>
    <col min="1284" max="1284" width="19.140625" style="420" customWidth="1"/>
    <col min="1285" max="1285" width="35.140625" style="420" customWidth="1"/>
    <col min="1286" max="1286" width="9.85546875" style="420" bestFit="1" customWidth="1"/>
    <col min="1287" max="1287" width="8.85546875" style="420" bestFit="1" customWidth="1"/>
    <col min="1288" max="1298" width="10.28515625" style="420" customWidth="1"/>
    <col min="1299" max="1538" width="9.140625" style="420"/>
    <col min="1539" max="1539" width="1.7109375" style="420" customWidth="1"/>
    <col min="1540" max="1540" width="19.140625" style="420" customWidth="1"/>
    <col min="1541" max="1541" width="35.140625" style="420" customWidth="1"/>
    <col min="1542" max="1542" width="9.85546875" style="420" bestFit="1" customWidth="1"/>
    <col min="1543" max="1543" width="8.85546875" style="420" bestFit="1" customWidth="1"/>
    <col min="1544" max="1554" width="10.28515625" style="420" customWidth="1"/>
    <col min="1555" max="1794" width="9.140625" style="420"/>
    <col min="1795" max="1795" width="1.7109375" style="420" customWidth="1"/>
    <col min="1796" max="1796" width="19.140625" style="420" customWidth="1"/>
    <col min="1797" max="1797" width="35.140625" style="420" customWidth="1"/>
    <col min="1798" max="1798" width="9.85546875" style="420" bestFit="1" customWidth="1"/>
    <col min="1799" max="1799" width="8.85546875" style="420" bestFit="1" customWidth="1"/>
    <col min="1800" max="1810" width="10.28515625" style="420" customWidth="1"/>
    <col min="1811" max="2050" width="9.140625" style="420"/>
    <col min="2051" max="2051" width="1.7109375" style="420" customWidth="1"/>
    <col min="2052" max="2052" width="19.140625" style="420" customWidth="1"/>
    <col min="2053" max="2053" width="35.140625" style="420" customWidth="1"/>
    <col min="2054" max="2054" width="9.85546875" style="420" bestFit="1" customWidth="1"/>
    <col min="2055" max="2055" width="8.85546875" style="420" bestFit="1" customWidth="1"/>
    <col min="2056" max="2066" width="10.28515625" style="420" customWidth="1"/>
    <col min="2067" max="2306" width="9.140625" style="420"/>
    <col min="2307" max="2307" width="1.7109375" style="420" customWidth="1"/>
    <col min="2308" max="2308" width="19.140625" style="420" customWidth="1"/>
    <col min="2309" max="2309" width="35.140625" style="420" customWidth="1"/>
    <col min="2310" max="2310" width="9.85546875" style="420" bestFit="1" customWidth="1"/>
    <col min="2311" max="2311" width="8.85546875" style="420" bestFit="1" customWidth="1"/>
    <col min="2312" max="2322" width="10.28515625" style="420" customWidth="1"/>
    <col min="2323" max="2562" width="9.140625" style="420"/>
    <col min="2563" max="2563" width="1.7109375" style="420" customWidth="1"/>
    <col min="2564" max="2564" width="19.140625" style="420" customWidth="1"/>
    <col min="2565" max="2565" width="35.140625" style="420" customWidth="1"/>
    <col min="2566" max="2566" width="9.85546875" style="420" bestFit="1" customWidth="1"/>
    <col min="2567" max="2567" width="8.85546875" style="420" bestFit="1" customWidth="1"/>
    <col min="2568" max="2578" width="10.28515625" style="420" customWidth="1"/>
    <col min="2579" max="2818" width="9.140625" style="420"/>
    <col min="2819" max="2819" width="1.7109375" style="420" customWidth="1"/>
    <col min="2820" max="2820" width="19.140625" style="420" customWidth="1"/>
    <col min="2821" max="2821" width="35.140625" style="420" customWidth="1"/>
    <col min="2822" max="2822" width="9.85546875" style="420" bestFit="1" customWidth="1"/>
    <col min="2823" max="2823" width="8.85546875" style="420" bestFit="1" customWidth="1"/>
    <col min="2824" max="2834" width="10.28515625" style="420" customWidth="1"/>
    <col min="2835" max="3074" width="9.140625" style="420"/>
    <col min="3075" max="3075" width="1.7109375" style="420" customWidth="1"/>
    <col min="3076" max="3076" width="19.140625" style="420" customWidth="1"/>
    <col min="3077" max="3077" width="35.140625" style="420" customWidth="1"/>
    <col min="3078" max="3078" width="9.85546875" style="420" bestFit="1" customWidth="1"/>
    <col min="3079" max="3079" width="8.85546875" style="420" bestFit="1" customWidth="1"/>
    <col min="3080" max="3090" width="10.28515625" style="420" customWidth="1"/>
    <col min="3091" max="3330" width="9.140625" style="420"/>
    <col min="3331" max="3331" width="1.7109375" style="420" customWidth="1"/>
    <col min="3332" max="3332" width="19.140625" style="420" customWidth="1"/>
    <col min="3333" max="3333" width="35.140625" style="420" customWidth="1"/>
    <col min="3334" max="3334" width="9.85546875" style="420" bestFit="1" customWidth="1"/>
    <col min="3335" max="3335" width="8.85546875" style="420" bestFit="1" customWidth="1"/>
    <col min="3336" max="3346" width="10.28515625" style="420" customWidth="1"/>
    <col min="3347" max="3586" width="9.140625" style="420"/>
    <col min="3587" max="3587" width="1.7109375" style="420" customWidth="1"/>
    <col min="3588" max="3588" width="19.140625" style="420" customWidth="1"/>
    <col min="3589" max="3589" width="35.140625" style="420" customWidth="1"/>
    <col min="3590" max="3590" width="9.85546875" style="420" bestFit="1" customWidth="1"/>
    <col min="3591" max="3591" width="8.85546875" style="420" bestFit="1" customWidth="1"/>
    <col min="3592" max="3602" width="10.28515625" style="420" customWidth="1"/>
    <col min="3603" max="3842" width="9.140625" style="420"/>
    <col min="3843" max="3843" width="1.7109375" style="420" customWidth="1"/>
    <col min="3844" max="3844" width="19.140625" style="420" customWidth="1"/>
    <col min="3845" max="3845" width="35.140625" style="420" customWidth="1"/>
    <col min="3846" max="3846" width="9.85546875" style="420" bestFit="1" customWidth="1"/>
    <col min="3847" max="3847" width="8.85546875" style="420" bestFit="1" customWidth="1"/>
    <col min="3848" max="3858" width="10.28515625" style="420" customWidth="1"/>
    <col min="3859" max="4098" width="9.140625" style="420"/>
    <col min="4099" max="4099" width="1.7109375" style="420" customWidth="1"/>
    <col min="4100" max="4100" width="19.140625" style="420" customWidth="1"/>
    <col min="4101" max="4101" width="35.140625" style="420" customWidth="1"/>
    <col min="4102" max="4102" width="9.85546875" style="420" bestFit="1" customWidth="1"/>
    <col min="4103" max="4103" width="8.85546875" style="420" bestFit="1" customWidth="1"/>
    <col min="4104" max="4114" width="10.28515625" style="420" customWidth="1"/>
    <col min="4115" max="4354" width="9.140625" style="420"/>
    <col min="4355" max="4355" width="1.7109375" style="420" customWidth="1"/>
    <col min="4356" max="4356" width="19.140625" style="420" customWidth="1"/>
    <col min="4357" max="4357" width="35.140625" style="420" customWidth="1"/>
    <col min="4358" max="4358" width="9.85546875" style="420" bestFit="1" customWidth="1"/>
    <col min="4359" max="4359" width="8.85546875" style="420" bestFit="1" customWidth="1"/>
    <col min="4360" max="4370" width="10.28515625" style="420" customWidth="1"/>
    <col min="4371" max="4610" width="9.140625" style="420"/>
    <col min="4611" max="4611" width="1.7109375" style="420" customWidth="1"/>
    <col min="4612" max="4612" width="19.140625" style="420" customWidth="1"/>
    <col min="4613" max="4613" width="35.140625" style="420" customWidth="1"/>
    <col min="4614" max="4614" width="9.85546875" style="420" bestFit="1" customWidth="1"/>
    <col min="4615" max="4615" width="8.85546875" style="420" bestFit="1" customWidth="1"/>
    <col min="4616" max="4626" width="10.28515625" style="420" customWidth="1"/>
    <col min="4627" max="4866" width="9.140625" style="420"/>
    <col min="4867" max="4867" width="1.7109375" style="420" customWidth="1"/>
    <col min="4868" max="4868" width="19.140625" style="420" customWidth="1"/>
    <col min="4869" max="4869" width="35.140625" style="420" customWidth="1"/>
    <col min="4870" max="4870" width="9.85546875" style="420" bestFit="1" customWidth="1"/>
    <col min="4871" max="4871" width="8.85546875" style="420" bestFit="1" customWidth="1"/>
    <col min="4872" max="4882" width="10.28515625" style="420" customWidth="1"/>
    <col min="4883" max="5122" width="9.140625" style="420"/>
    <col min="5123" max="5123" width="1.7109375" style="420" customWidth="1"/>
    <col min="5124" max="5124" width="19.140625" style="420" customWidth="1"/>
    <col min="5125" max="5125" width="35.140625" style="420" customWidth="1"/>
    <col min="5126" max="5126" width="9.85546875" style="420" bestFit="1" customWidth="1"/>
    <col min="5127" max="5127" width="8.85546875" style="420" bestFit="1" customWidth="1"/>
    <col min="5128" max="5138" width="10.28515625" style="420" customWidth="1"/>
    <col min="5139" max="5378" width="9.140625" style="420"/>
    <col min="5379" max="5379" width="1.7109375" style="420" customWidth="1"/>
    <col min="5380" max="5380" width="19.140625" style="420" customWidth="1"/>
    <col min="5381" max="5381" width="35.140625" style="420" customWidth="1"/>
    <col min="5382" max="5382" width="9.85546875" style="420" bestFit="1" customWidth="1"/>
    <col min="5383" max="5383" width="8.85546875" style="420" bestFit="1" customWidth="1"/>
    <col min="5384" max="5394" width="10.28515625" style="420" customWidth="1"/>
    <col min="5395" max="5634" width="9.140625" style="420"/>
    <col min="5635" max="5635" width="1.7109375" style="420" customWidth="1"/>
    <col min="5636" max="5636" width="19.140625" style="420" customWidth="1"/>
    <col min="5637" max="5637" width="35.140625" style="420" customWidth="1"/>
    <col min="5638" max="5638" width="9.85546875" style="420" bestFit="1" customWidth="1"/>
    <col min="5639" max="5639" width="8.85546875" style="420" bestFit="1" customWidth="1"/>
    <col min="5640" max="5650" width="10.28515625" style="420" customWidth="1"/>
    <col min="5651" max="5890" width="9.140625" style="420"/>
    <col min="5891" max="5891" width="1.7109375" style="420" customWidth="1"/>
    <col min="5892" max="5892" width="19.140625" style="420" customWidth="1"/>
    <col min="5893" max="5893" width="35.140625" style="420" customWidth="1"/>
    <col min="5894" max="5894" width="9.85546875" style="420" bestFit="1" customWidth="1"/>
    <col min="5895" max="5895" width="8.85546875" style="420" bestFit="1" customWidth="1"/>
    <col min="5896" max="5906" width="10.28515625" style="420" customWidth="1"/>
    <col min="5907" max="6146" width="9.140625" style="420"/>
    <col min="6147" max="6147" width="1.7109375" style="420" customWidth="1"/>
    <col min="6148" max="6148" width="19.140625" style="420" customWidth="1"/>
    <col min="6149" max="6149" width="35.140625" style="420" customWidth="1"/>
    <col min="6150" max="6150" width="9.85546875" style="420" bestFit="1" customWidth="1"/>
    <col min="6151" max="6151" width="8.85546875" style="420" bestFit="1" customWidth="1"/>
    <col min="6152" max="6162" width="10.28515625" style="420" customWidth="1"/>
    <col min="6163" max="6402" width="9.140625" style="420"/>
    <col min="6403" max="6403" width="1.7109375" style="420" customWidth="1"/>
    <col min="6404" max="6404" width="19.140625" style="420" customWidth="1"/>
    <col min="6405" max="6405" width="35.140625" style="420" customWidth="1"/>
    <col min="6406" max="6406" width="9.85546875" style="420" bestFit="1" customWidth="1"/>
    <col min="6407" max="6407" width="8.85546875" style="420" bestFit="1" customWidth="1"/>
    <col min="6408" max="6418" width="10.28515625" style="420" customWidth="1"/>
    <col min="6419" max="6658" width="9.140625" style="420"/>
    <col min="6659" max="6659" width="1.7109375" style="420" customWidth="1"/>
    <col min="6660" max="6660" width="19.140625" style="420" customWidth="1"/>
    <col min="6661" max="6661" width="35.140625" style="420" customWidth="1"/>
    <col min="6662" max="6662" width="9.85546875" style="420" bestFit="1" customWidth="1"/>
    <col min="6663" max="6663" width="8.85546875" style="420" bestFit="1" customWidth="1"/>
    <col min="6664" max="6674" width="10.28515625" style="420" customWidth="1"/>
    <col min="6675" max="6914" width="9.140625" style="420"/>
    <col min="6915" max="6915" width="1.7109375" style="420" customWidth="1"/>
    <col min="6916" max="6916" width="19.140625" style="420" customWidth="1"/>
    <col min="6917" max="6917" width="35.140625" style="420" customWidth="1"/>
    <col min="6918" max="6918" width="9.85546875" style="420" bestFit="1" customWidth="1"/>
    <col min="6919" max="6919" width="8.85546875" style="420" bestFit="1" customWidth="1"/>
    <col min="6920" max="6930" width="10.28515625" style="420" customWidth="1"/>
    <col min="6931" max="7170" width="9.140625" style="420"/>
    <col min="7171" max="7171" width="1.7109375" style="420" customWidth="1"/>
    <col min="7172" max="7172" width="19.140625" style="420" customWidth="1"/>
    <col min="7173" max="7173" width="35.140625" style="420" customWidth="1"/>
    <col min="7174" max="7174" width="9.85546875" style="420" bestFit="1" customWidth="1"/>
    <col min="7175" max="7175" width="8.85546875" style="420" bestFit="1" customWidth="1"/>
    <col min="7176" max="7186" width="10.28515625" style="420" customWidth="1"/>
    <col min="7187" max="7426" width="9.140625" style="420"/>
    <col min="7427" max="7427" width="1.7109375" style="420" customWidth="1"/>
    <col min="7428" max="7428" width="19.140625" style="420" customWidth="1"/>
    <col min="7429" max="7429" width="35.140625" style="420" customWidth="1"/>
    <col min="7430" max="7430" width="9.85546875" style="420" bestFit="1" customWidth="1"/>
    <col min="7431" max="7431" width="8.85546875" style="420" bestFit="1" customWidth="1"/>
    <col min="7432" max="7442" width="10.28515625" style="420" customWidth="1"/>
    <col min="7443" max="7682" width="9.140625" style="420"/>
    <col min="7683" max="7683" width="1.7109375" style="420" customWidth="1"/>
    <col min="7684" max="7684" width="19.140625" style="420" customWidth="1"/>
    <col min="7685" max="7685" width="35.140625" style="420" customWidth="1"/>
    <col min="7686" max="7686" width="9.85546875" style="420" bestFit="1" customWidth="1"/>
    <col min="7687" max="7687" width="8.85546875" style="420" bestFit="1" customWidth="1"/>
    <col min="7688" max="7698" width="10.28515625" style="420" customWidth="1"/>
    <col min="7699" max="7938" width="9.140625" style="420"/>
    <col min="7939" max="7939" width="1.7109375" style="420" customWidth="1"/>
    <col min="7940" max="7940" width="19.140625" style="420" customWidth="1"/>
    <col min="7941" max="7941" width="35.140625" style="420" customWidth="1"/>
    <col min="7942" max="7942" width="9.85546875" style="420" bestFit="1" customWidth="1"/>
    <col min="7943" max="7943" width="8.85546875" style="420" bestFit="1" customWidth="1"/>
    <col min="7944" max="7954" width="10.28515625" style="420" customWidth="1"/>
    <col min="7955" max="8194" width="9.140625" style="420"/>
    <col min="8195" max="8195" width="1.7109375" style="420" customWidth="1"/>
    <col min="8196" max="8196" width="19.140625" style="420" customWidth="1"/>
    <col min="8197" max="8197" width="35.140625" style="420" customWidth="1"/>
    <col min="8198" max="8198" width="9.85546875" style="420" bestFit="1" customWidth="1"/>
    <col min="8199" max="8199" width="8.85546875" style="420" bestFit="1" customWidth="1"/>
    <col min="8200" max="8210" width="10.28515625" style="420" customWidth="1"/>
    <col min="8211" max="8450" width="9.140625" style="420"/>
    <col min="8451" max="8451" width="1.7109375" style="420" customWidth="1"/>
    <col min="8452" max="8452" width="19.140625" style="420" customWidth="1"/>
    <col min="8453" max="8453" width="35.140625" style="420" customWidth="1"/>
    <col min="8454" max="8454" width="9.85546875" style="420" bestFit="1" customWidth="1"/>
    <col min="8455" max="8455" width="8.85546875" style="420" bestFit="1" customWidth="1"/>
    <col min="8456" max="8466" width="10.28515625" style="420" customWidth="1"/>
    <col min="8467" max="8706" width="9.140625" style="420"/>
    <col min="8707" max="8707" width="1.7109375" style="420" customWidth="1"/>
    <col min="8708" max="8708" width="19.140625" style="420" customWidth="1"/>
    <col min="8709" max="8709" width="35.140625" style="420" customWidth="1"/>
    <col min="8710" max="8710" width="9.85546875" style="420" bestFit="1" customWidth="1"/>
    <col min="8711" max="8711" width="8.85546875" style="420" bestFit="1" customWidth="1"/>
    <col min="8712" max="8722" width="10.28515625" style="420" customWidth="1"/>
    <col min="8723" max="8962" width="9.140625" style="420"/>
    <col min="8963" max="8963" width="1.7109375" style="420" customWidth="1"/>
    <col min="8964" max="8964" width="19.140625" style="420" customWidth="1"/>
    <col min="8965" max="8965" width="35.140625" style="420" customWidth="1"/>
    <col min="8966" max="8966" width="9.85546875" style="420" bestFit="1" customWidth="1"/>
    <col min="8967" max="8967" width="8.85546875" style="420" bestFit="1" customWidth="1"/>
    <col min="8968" max="8978" width="10.28515625" style="420" customWidth="1"/>
    <col min="8979" max="9218" width="9.140625" style="420"/>
    <col min="9219" max="9219" width="1.7109375" style="420" customWidth="1"/>
    <col min="9220" max="9220" width="19.140625" style="420" customWidth="1"/>
    <col min="9221" max="9221" width="35.140625" style="420" customWidth="1"/>
    <col min="9222" max="9222" width="9.85546875" style="420" bestFit="1" customWidth="1"/>
    <col min="9223" max="9223" width="8.85546875" style="420" bestFit="1" customWidth="1"/>
    <col min="9224" max="9234" width="10.28515625" style="420" customWidth="1"/>
    <col min="9235" max="9474" width="9.140625" style="420"/>
    <col min="9475" max="9475" width="1.7109375" style="420" customWidth="1"/>
    <col min="9476" max="9476" width="19.140625" style="420" customWidth="1"/>
    <col min="9477" max="9477" width="35.140625" style="420" customWidth="1"/>
    <col min="9478" max="9478" width="9.85546875" style="420" bestFit="1" customWidth="1"/>
    <col min="9479" max="9479" width="8.85546875" style="420" bestFit="1" customWidth="1"/>
    <col min="9480" max="9490" width="10.28515625" style="420" customWidth="1"/>
    <col min="9491" max="9730" width="9.140625" style="420"/>
    <col min="9731" max="9731" width="1.7109375" style="420" customWidth="1"/>
    <col min="9732" max="9732" width="19.140625" style="420" customWidth="1"/>
    <col min="9733" max="9733" width="35.140625" style="420" customWidth="1"/>
    <col min="9734" max="9734" width="9.85546875" style="420" bestFit="1" customWidth="1"/>
    <col min="9735" max="9735" width="8.85546875" style="420" bestFit="1" customWidth="1"/>
    <col min="9736" max="9746" width="10.28515625" style="420" customWidth="1"/>
    <col min="9747" max="9986" width="9.140625" style="420"/>
    <col min="9987" max="9987" width="1.7109375" style="420" customWidth="1"/>
    <col min="9988" max="9988" width="19.140625" style="420" customWidth="1"/>
    <col min="9989" max="9989" width="35.140625" style="420" customWidth="1"/>
    <col min="9990" max="9990" width="9.85546875" style="420" bestFit="1" customWidth="1"/>
    <col min="9991" max="9991" width="8.85546875" style="420" bestFit="1" customWidth="1"/>
    <col min="9992" max="10002" width="10.28515625" style="420" customWidth="1"/>
    <col min="10003" max="10242" width="9.140625" style="420"/>
    <col min="10243" max="10243" width="1.7109375" style="420" customWidth="1"/>
    <col min="10244" max="10244" width="19.140625" style="420" customWidth="1"/>
    <col min="10245" max="10245" width="35.140625" style="420" customWidth="1"/>
    <col min="10246" max="10246" width="9.85546875" style="420" bestFit="1" customWidth="1"/>
    <col min="10247" max="10247" width="8.85546875" style="420" bestFit="1" customWidth="1"/>
    <col min="10248" max="10258" width="10.28515625" style="420" customWidth="1"/>
    <col min="10259" max="10498" width="9.140625" style="420"/>
    <col min="10499" max="10499" width="1.7109375" style="420" customWidth="1"/>
    <col min="10500" max="10500" width="19.140625" style="420" customWidth="1"/>
    <col min="10501" max="10501" width="35.140625" style="420" customWidth="1"/>
    <col min="10502" max="10502" width="9.85546875" style="420" bestFit="1" customWidth="1"/>
    <col min="10503" max="10503" width="8.85546875" style="420" bestFit="1" customWidth="1"/>
    <col min="10504" max="10514" width="10.28515625" style="420" customWidth="1"/>
    <col min="10515" max="10754" width="9.140625" style="420"/>
    <col min="10755" max="10755" width="1.7109375" style="420" customWidth="1"/>
    <col min="10756" max="10756" width="19.140625" style="420" customWidth="1"/>
    <col min="10757" max="10757" width="35.140625" style="420" customWidth="1"/>
    <col min="10758" max="10758" width="9.85546875" style="420" bestFit="1" customWidth="1"/>
    <col min="10759" max="10759" width="8.85546875" style="420" bestFit="1" customWidth="1"/>
    <col min="10760" max="10770" width="10.28515625" style="420" customWidth="1"/>
    <col min="10771" max="11010" width="9.140625" style="420"/>
    <col min="11011" max="11011" width="1.7109375" style="420" customWidth="1"/>
    <col min="11012" max="11012" width="19.140625" style="420" customWidth="1"/>
    <col min="11013" max="11013" width="35.140625" style="420" customWidth="1"/>
    <col min="11014" max="11014" width="9.85546875" style="420" bestFit="1" customWidth="1"/>
    <col min="11015" max="11015" width="8.85546875" style="420" bestFit="1" customWidth="1"/>
    <col min="11016" max="11026" width="10.28515625" style="420" customWidth="1"/>
    <col min="11027" max="11266" width="9.140625" style="420"/>
    <col min="11267" max="11267" width="1.7109375" style="420" customWidth="1"/>
    <col min="11268" max="11268" width="19.140625" style="420" customWidth="1"/>
    <col min="11269" max="11269" width="35.140625" style="420" customWidth="1"/>
    <col min="11270" max="11270" width="9.85546875" style="420" bestFit="1" customWidth="1"/>
    <col min="11271" max="11271" width="8.85546875" style="420" bestFit="1" customWidth="1"/>
    <col min="11272" max="11282" width="10.28515625" style="420" customWidth="1"/>
    <col min="11283" max="11522" width="9.140625" style="420"/>
    <col min="11523" max="11523" width="1.7109375" style="420" customWidth="1"/>
    <col min="11524" max="11524" width="19.140625" style="420" customWidth="1"/>
    <col min="11525" max="11525" width="35.140625" style="420" customWidth="1"/>
    <col min="11526" max="11526" width="9.85546875" style="420" bestFit="1" customWidth="1"/>
    <col min="11527" max="11527" width="8.85546875" style="420" bestFit="1" customWidth="1"/>
    <col min="11528" max="11538" width="10.28515625" style="420" customWidth="1"/>
    <col min="11539" max="11778" width="9.140625" style="420"/>
    <col min="11779" max="11779" width="1.7109375" style="420" customWidth="1"/>
    <col min="11780" max="11780" width="19.140625" style="420" customWidth="1"/>
    <col min="11781" max="11781" width="35.140625" style="420" customWidth="1"/>
    <col min="11782" max="11782" width="9.85546875" style="420" bestFit="1" customWidth="1"/>
    <col min="11783" max="11783" width="8.85546875" style="420" bestFit="1" customWidth="1"/>
    <col min="11784" max="11794" width="10.28515625" style="420" customWidth="1"/>
    <col min="11795" max="12034" width="9.140625" style="420"/>
    <col min="12035" max="12035" width="1.7109375" style="420" customWidth="1"/>
    <col min="12036" max="12036" width="19.140625" style="420" customWidth="1"/>
    <col min="12037" max="12037" width="35.140625" style="420" customWidth="1"/>
    <col min="12038" max="12038" width="9.85546875" style="420" bestFit="1" customWidth="1"/>
    <col min="12039" max="12039" width="8.85546875" style="420" bestFit="1" customWidth="1"/>
    <col min="12040" max="12050" width="10.28515625" style="420" customWidth="1"/>
    <col min="12051" max="12290" width="9.140625" style="420"/>
    <col min="12291" max="12291" width="1.7109375" style="420" customWidth="1"/>
    <col min="12292" max="12292" width="19.140625" style="420" customWidth="1"/>
    <col min="12293" max="12293" width="35.140625" style="420" customWidth="1"/>
    <col min="12294" max="12294" width="9.85546875" style="420" bestFit="1" customWidth="1"/>
    <col min="12295" max="12295" width="8.85546875" style="420" bestFit="1" customWidth="1"/>
    <col min="12296" max="12306" width="10.28515625" style="420" customWidth="1"/>
    <col min="12307" max="12546" width="9.140625" style="420"/>
    <col min="12547" max="12547" width="1.7109375" style="420" customWidth="1"/>
    <col min="12548" max="12548" width="19.140625" style="420" customWidth="1"/>
    <col min="12549" max="12549" width="35.140625" style="420" customWidth="1"/>
    <col min="12550" max="12550" width="9.85546875" style="420" bestFit="1" customWidth="1"/>
    <col min="12551" max="12551" width="8.85546875" style="420" bestFit="1" customWidth="1"/>
    <col min="12552" max="12562" width="10.28515625" style="420" customWidth="1"/>
    <col min="12563" max="12802" width="9.140625" style="420"/>
    <col min="12803" max="12803" width="1.7109375" style="420" customWidth="1"/>
    <col min="12804" max="12804" width="19.140625" style="420" customWidth="1"/>
    <col min="12805" max="12805" width="35.140625" style="420" customWidth="1"/>
    <col min="12806" max="12806" width="9.85546875" style="420" bestFit="1" customWidth="1"/>
    <col min="12807" max="12807" width="8.85546875" style="420" bestFit="1" customWidth="1"/>
    <col min="12808" max="12818" width="10.28515625" style="420" customWidth="1"/>
    <col min="12819" max="13058" width="9.140625" style="420"/>
    <col min="13059" max="13059" width="1.7109375" style="420" customWidth="1"/>
    <col min="13060" max="13060" width="19.140625" style="420" customWidth="1"/>
    <col min="13061" max="13061" width="35.140625" style="420" customWidth="1"/>
    <col min="13062" max="13062" width="9.85546875" style="420" bestFit="1" customWidth="1"/>
    <col min="13063" max="13063" width="8.85546875" style="420" bestFit="1" customWidth="1"/>
    <col min="13064" max="13074" width="10.28515625" style="420" customWidth="1"/>
    <col min="13075" max="13314" width="9.140625" style="420"/>
    <col min="13315" max="13315" width="1.7109375" style="420" customWidth="1"/>
    <col min="13316" max="13316" width="19.140625" style="420" customWidth="1"/>
    <col min="13317" max="13317" width="35.140625" style="420" customWidth="1"/>
    <col min="13318" max="13318" width="9.85546875" style="420" bestFit="1" customWidth="1"/>
    <col min="13319" max="13319" width="8.85546875" style="420" bestFit="1" customWidth="1"/>
    <col min="13320" max="13330" width="10.28515625" style="420" customWidth="1"/>
    <col min="13331" max="13570" width="9.140625" style="420"/>
    <col min="13571" max="13571" width="1.7109375" style="420" customWidth="1"/>
    <col min="13572" max="13572" width="19.140625" style="420" customWidth="1"/>
    <col min="13573" max="13573" width="35.140625" style="420" customWidth="1"/>
    <col min="13574" max="13574" width="9.85546875" style="420" bestFit="1" customWidth="1"/>
    <col min="13575" max="13575" width="8.85546875" style="420" bestFit="1" customWidth="1"/>
    <col min="13576" max="13586" width="10.28515625" style="420" customWidth="1"/>
    <col min="13587" max="13826" width="9.140625" style="420"/>
    <col min="13827" max="13827" width="1.7109375" style="420" customWidth="1"/>
    <col min="13828" max="13828" width="19.140625" style="420" customWidth="1"/>
    <col min="13829" max="13829" width="35.140625" style="420" customWidth="1"/>
    <col min="13830" max="13830" width="9.85546875" style="420" bestFit="1" customWidth="1"/>
    <col min="13831" max="13831" width="8.85546875" style="420" bestFit="1" customWidth="1"/>
    <col min="13832" max="13842" width="10.28515625" style="420" customWidth="1"/>
    <col min="13843" max="14082" width="9.140625" style="420"/>
    <col min="14083" max="14083" width="1.7109375" style="420" customWidth="1"/>
    <col min="14084" max="14084" width="19.140625" style="420" customWidth="1"/>
    <col min="14085" max="14085" width="35.140625" style="420" customWidth="1"/>
    <col min="14086" max="14086" width="9.85546875" style="420" bestFit="1" customWidth="1"/>
    <col min="14087" max="14087" width="8.85546875" style="420" bestFit="1" customWidth="1"/>
    <col min="14088" max="14098" width="10.28515625" style="420" customWidth="1"/>
    <col min="14099" max="14338" width="9.140625" style="420"/>
    <col min="14339" max="14339" width="1.7109375" style="420" customWidth="1"/>
    <col min="14340" max="14340" width="19.140625" style="420" customWidth="1"/>
    <col min="14341" max="14341" width="35.140625" style="420" customWidth="1"/>
    <col min="14342" max="14342" width="9.85546875" style="420" bestFit="1" customWidth="1"/>
    <col min="14343" max="14343" width="8.85546875" style="420" bestFit="1" customWidth="1"/>
    <col min="14344" max="14354" width="10.28515625" style="420" customWidth="1"/>
    <col min="14355" max="14594" width="9.140625" style="420"/>
    <col min="14595" max="14595" width="1.7109375" style="420" customWidth="1"/>
    <col min="14596" max="14596" width="19.140625" style="420" customWidth="1"/>
    <col min="14597" max="14597" width="35.140625" style="420" customWidth="1"/>
    <col min="14598" max="14598" width="9.85546875" style="420" bestFit="1" customWidth="1"/>
    <col min="14599" max="14599" width="8.85546875" style="420" bestFit="1" customWidth="1"/>
    <col min="14600" max="14610" width="10.28515625" style="420" customWidth="1"/>
    <col min="14611" max="14850" width="9.140625" style="420"/>
    <col min="14851" max="14851" width="1.7109375" style="420" customWidth="1"/>
    <col min="14852" max="14852" width="19.140625" style="420" customWidth="1"/>
    <col min="14853" max="14853" width="35.140625" style="420" customWidth="1"/>
    <col min="14854" max="14854" width="9.85546875" style="420" bestFit="1" customWidth="1"/>
    <col min="14855" max="14855" width="8.85546875" style="420" bestFit="1" customWidth="1"/>
    <col min="14856" max="14866" width="10.28515625" style="420" customWidth="1"/>
    <col min="14867" max="15106" width="9.140625" style="420"/>
    <col min="15107" max="15107" width="1.7109375" style="420" customWidth="1"/>
    <col min="15108" max="15108" width="19.140625" style="420" customWidth="1"/>
    <col min="15109" max="15109" width="35.140625" style="420" customWidth="1"/>
    <col min="15110" max="15110" width="9.85546875" style="420" bestFit="1" customWidth="1"/>
    <col min="15111" max="15111" width="8.85546875" style="420" bestFit="1" customWidth="1"/>
    <col min="15112" max="15122" width="10.28515625" style="420" customWidth="1"/>
    <col min="15123" max="15362" width="9.140625" style="420"/>
    <col min="15363" max="15363" width="1.7109375" style="420" customWidth="1"/>
    <col min="15364" max="15364" width="19.140625" style="420" customWidth="1"/>
    <col min="15365" max="15365" width="35.140625" style="420" customWidth="1"/>
    <col min="15366" max="15366" width="9.85546875" style="420" bestFit="1" customWidth="1"/>
    <col min="15367" max="15367" width="8.85546875" style="420" bestFit="1" customWidth="1"/>
    <col min="15368" max="15378" width="10.28515625" style="420" customWidth="1"/>
    <col min="15379" max="15618" width="9.140625" style="420"/>
    <col min="15619" max="15619" width="1.7109375" style="420" customWidth="1"/>
    <col min="15620" max="15620" width="19.140625" style="420" customWidth="1"/>
    <col min="15621" max="15621" width="35.140625" style="420" customWidth="1"/>
    <col min="15622" max="15622" width="9.85546875" style="420" bestFit="1" customWidth="1"/>
    <col min="15623" max="15623" width="8.85546875" style="420" bestFit="1" customWidth="1"/>
    <col min="15624" max="15634" width="10.28515625" style="420" customWidth="1"/>
    <col min="15635" max="15874" width="9.140625" style="420"/>
    <col min="15875" max="15875" width="1.7109375" style="420" customWidth="1"/>
    <col min="15876" max="15876" width="19.140625" style="420" customWidth="1"/>
    <col min="15877" max="15877" width="35.140625" style="420" customWidth="1"/>
    <col min="15878" max="15878" width="9.85546875" style="420" bestFit="1" customWidth="1"/>
    <col min="15879" max="15879" width="8.85546875" style="420" bestFit="1" customWidth="1"/>
    <col min="15880" max="15890" width="10.28515625" style="420" customWidth="1"/>
    <col min="15891" max="16130" width="9.140625" style="420"/>
    <col min="16131" max="16131" width="1.7109375" style="420" customWidth="1"/>
    <col min="16132" max="16132" width="19.140625" style="420" customWidth="1"/>
    <col min="16133" max="16133" width="35.140625" style="420" customWidth="1"/>
    <col min="16134" max="16134" width="9.85546875" style="420" bestFit="1" customWidth="1"/>
    <col min="16135" max="16135" width="8.85546875" style="420" bestFit="1" customWidth="1"/>
    <col min="16136" max="16146" width="10.28515625" style="420" customWidth="1"/>
    <col min="16147" max="16384" width="9.140625" style="420"/>
  </cols>
  <sheetData>
    <row r="1" spans="1:19" s="395" customFormat="1" ht="36" customHeight="1" x14ac:dyDescent="0.25">
      <c r="A1" s="393"/>
      <c r="B1" s="393"/>
      <c r="C1" s="393"/>
      <c r="D1" s="730" t="s">
        <v>109</v>
      </c>
      <c r="E1" s="731"/>
      <c r="F1" s="732"/>
      <c r="G1" s="728" t="s">
        <v>227</v>
      </c>
      <c r="H1" s="728"/>
      <c r="I1" s="729"/>
      <c r="J1" s="727" t="s">
        <v>170</v>
      </c>
      <c r="K1" s="728"/>
      <c r="L1" s="729"/>
      <c r="M1" s="727" t="s">
        <v>171</v>
      </c>
      <c r="N1" s="728"/>
      <c r="O1" s="729"/>
      <c r="P1" s="727" t="s">
        <v>175</v>
      </c>
      <c r="Q1" s="728"/>
      <c r="R1" s="738"/>
      <c r="S1" s="394"/>
    </row>
    <row r="2" spans="1:19" s="395" customFormat="1" ht="36" customHeight="1" x14ac:dyDescent="0.25">
      <c r="A2" s="393" t="s">
        <v>377</v>
      </c>
      <c r="B2" s="393"/>
      <c r="C2" s="393"/>
      <c r="D2" s="656"/>
      <c r="E2" s="654"/>
      <c r="F2" s="655"/>
      <c r="G2" s="737" t="s">
        <v>378</v>
      </c>
      <c r="H2" s="728"/>
      <c r="I2" s="729"/>
      <c r="J2" s="727" t="s">
        <v>379</v>
      </c>
      <c r="K2" s="728"/>
      <c r="L2" s="729"/>
      <c r="M2" s="727" t="s">
        <v>381</v>
      </c>
      <c r="N2" s="728"/>
      <c r="O2" s="729"/>
      <c r="P2" s="727" t="s">
        <v>380</v>
      </c>
      <c r="Q2" s="728"/>
      <c r="R2" s="738"/>
      <c r="S2" s="394"/>
    </row>
    <row r="3" spans="1:19" s="395" customFormat="1" ht="36" customHeight="1" x14ac:dyDescent="0.25">
      <c r="A3" s="393" t="s">
        <v>238</v>
      </c>
      <c r="B3" s="393"/>
      <c r="C3" s="393"/>
      <c r="D3" s="396"/>
      <c r="E3" s="397"/>
      <c r="F3" s="398"/>
      <c r="G3" s="733" t="str">
        <f>'TCO TO BE- SW'!F1</f>
        <v>Aplikačný modul 1</v>
      </c>
      <c r="H3" s="734"/>
      <c r="I3" s="735"/>
      <c r="J3" s="736" t="str">
        <f>'TCO TO BE- SW'!G1</f>
        <v>Aplikačný modul 2</v>
      </c>
      <c r="K3" s="734"/>
      <c r="L3" s="735"/>
      <c r="M3" s="736" t="str">
        <f>'TCO TO BE- SW'!H1</f>
        <v>Aplikačný modul 3</v>
      </c>
      <c r="N3" s="734"/>
      <c r="O3" s="735"/>
      <c r="P3" s="736" t="str">
        <f>'TCO TO BE- SW'!I1</f>
        <v>Aplikačný modul N</v>
      </c>
      <c r="Q3" s="734"/>
      <c r="R3" s="743"/>
      <c r="S3" s="394"/>
    </row>
    <row r="4" spans="1:19" s="395" customFormat="1" ht="36" customHeight="1" x14ac:dyDescent="0.25">
      <c r="A4" s="393" t="s">
        <v>239</v>
      </c>
      <c r="B4" s="393"/>
      <c r="C4" s="393"/>
      <c r="D4" s="396"/>
      <c r="E4" s="397"/>
      <c r="F4" s="398"/>
      <c r="G4" s="733" t="str">
        <f>'TCO TO BE - HW'!F1</f>
        <v>Aplikačný modul 1</v>
      </c>
      <c r="H4" s="734"/>
      <c r="I4" s="735"/>
      <c r="J4" s="736" t="str">
        <f>'TCO TO BE - HW'!G1</f>
        <v>Aplikačný modul 2</v>
      </c>
      <c r="K4" s="734"/>
      <c r="L4" s="735"/>
      <c r="M4" s="736" t="str">
        <f>'TCO TO BE - HW'!H1</f>
        <v>Aplikačný modul 3</v>
      </c>
      <c r="N4" s="734"/>
      <c r="O4" s="735"/>
      <c r="P4" s="736" t="str">
        <f>'TCO TO BE - HW'!I1</f>
        <v>Aplikačný modul N</v>
      </c>
      <c r="Q4" s="734"/>
      <c r="R4" s="743"/>
      <c r="S4" s="394"/>
    </row>
    <row r="5" spans="1:19" s="409" customFormat="1" ht="15.75" customHeight="1" thickBot="1" x14ac:dyDescent="0.3">
      <c r="A5" s="399" t="s">
        <v>40</v>
      </c>
      <c r="B5" s="399" t="s">
        <v>10</v>
      </c>
      <c r="C5" s="400" t="s">
        <v>23</v>
      </c>
      <c r="D5" s="401" t="s">
        <v>243</v>
      </c>
      <c r="E5" s="402" t="s">
        <v>180</v>
      </c>
      <c r="F5" s="403" t="s">
        <v>165</v>
      </c>
      <c r="G5" s="404" t="s">
        <v>243</v>
      </c>
      <c r="H5" s="404" t="s">
        <v>180</v>
      </c>
      <c r="I5" s="405" t="s">
        <v>165</v>
      </c>
      <c r="J5" s="406" t="s">
        <v>243</v>
      </c>
      <c r="K5" s="404" t="s">
        <v>180</v>
      </c>
      <c r="L5" s="405" t="s">
        <v>165</v>
      </c>
      <c r="M5" s="406" t="s">
        <v>243</v>
      </c>
      <c r="N5" s="404" t="s">
        <v>180</v>
      </c>
      <c r="O5" s="405" t="s">
        <v>165</v>
      </c>
      <c r="P5" s="406" t="s">
        <v>243</v>
      </c>
      <c r="Q5" s="404" t="s">
        <v>180</v>
      </c>
      <c r="R5" s="407" t="s">
        <v>165</v>
      </c>
      <c r="S5" s="408"/>
    </row>
    <row r="6" spans="1:19" ht="14.45" customHeight="1" x14ac:dyDescent="0.25">
      <c r="A6" s="721" t="s">
        <v>340</v>
      </c>
      <c r="B6" s="724" t="s">
        <v>37</v>
      </c>
      <c r="C6" s="410" t="s">
        <v>25</v>
      </c>
      <c r="D6" s="411">
        <f>G6+J6+M6+P6</f>
        <v>2201000</v>
      </c>
      <c r="E6" s="412">
        <f>H6+K6+N6+Q6</f>
        <v>2201000</v>
      </c>
      <c r="F6" s="413">
        <f>I6+L6+O6+R6</f>
        <v>0</v>
      </c>
      <c r="G6" s="414">
        <v>2000000</v>
      </c>
      <c r="H6" s="415">
        <v>2000000</v>
      </c>
      <c r="I6" s="416">
        <f>H6-G6</f>
        <v>0</v>
      </c>
      <c r="J6" s="415">
        <v>200000</v>
      </c>
      <c r="K6" s="415">
        <v>200000</v>
      </c>
      <c r="L6" s="416">
        <f>K6-J6</f>
        <v>0</v>
      </c>
      <c r="M6" s="415">
        <v>0</v>
      </c>
      <c r="N6" s="415">
        <v>0</v>
      </c>
      <c r="O6" s="416">
        <f>N6-M6</f>
        <v>0</v>
      </c>
      <c r="P6" s="415">
        <v>1000</v>
      </c>
      <c r="Q6" s="417">
        <v>1000</v>
      </c>
      <c r="R6" s="418">
        <f>Q6-P6</f>
        <v>0</v>
      </c>
      <c r="S6" s="419">
        <v>0</v>
      </c>
    </row>
    <row r="7" spans="1:19" x14ac:dyDescent="0.25">
      <c r="A7" s="722"/>
      <c r="B7" s="725"/>
      <c r="C7" s="421" t="s">
        <v>26</v>
      </c>
      <c r="D7" s="422">
        <f t="shared" ref="D7:D15" si="0">G7+J7+M7+P7</f>
        <v>2751200</v>
      </c>
      <c r="E7" s="423">
        <f t="shared" ref="E7:E15" si="1">H7+K7+N7+Q7</f>
        <v>3081200</v>
      </c>
      <c r="F7" s="424">
        <f t="shared" ref="F7:F15" si="2">I7+L7+O7+R7</f>
        <v>330000</v>
      </c>
      <c r="G7" s="425">
        <v>2500000</v>
      </c>
      <c r="H7" s="426">
        <v>2800000</v>
      </c>
      <c r="I7" s="427">
        <f t="shared" ref="I7:I25" si="3">H7-G7</f>
        <v>300000</v>
      </c>
      <c r="J7" s="426">
        <v>250000</v>
      </c>
      <c r="K7" s="426">
        <v>280000</v>
      </c>
      <c r="L7" s="427">
        <f t="shared" ref="L7:L25" si="4">K7-J7</f>
        <v>30000</v>
      </c>
      <c r="M7" s="426">
        <v>0</v>
      </c>
      <c r="N7" s="426">
        <v>0</v>
      </c>
      <c r="O7" s="427">
        <f t="shared" ref="O7:O25" si="5">N7-M7</f>
        <v>0</v>
      </c>
      <c r="P7" s="426">
        <v>1200</v>
      </c>
      <c r="Q7" s="428">
        <v>1200</v>
      </c>
      <c r="R7" s="429">
        <f t="shared" ref="R7:R25" si="6">Q7-P7</f>
        <v>0</v>
      </c>
      <c r="S7" s="419"/>
    </row>
    <row r="8" spans="1:19" x14ac:dyDescent="0.25">
      <c r="A8" s="722"/>
      <c r="B8" s="725"/>
      <c r="C8" s="421" t="s">
        <v>27</v>
      </c>
      <c r="D8" s="422">
        <f t="shared" si="0"/>
        <v>3301200</v>
      </c>
      <c r="E8" s="423">
        <f t="shared" si="1"/>
        <v>4256200</v>
      </c>
      <c r="F8" s="424">
        <f t="shared" si="2"/>
        <v>955000</v>
      </c>
      <c r="G8" s="425">
        <v>3000000</v>
      </c>
      <c r="H8" s="426">
        <v>3700000</v>
      </c>
      <c r="I8" s="427">
        <f t="shared" si="3"/>
        <v>700000</v>
      </c>
      <c r="J8" s="426">
        <v>300000</v>
      </c>
      <c r="K8" s="426">
        <v>370000</v>
      </c>
      <c r="L8" s="427">
        <f t="shared" si="4"/>
        <v>70000</v>
      </c>
      <c r="M8" s="426">
        <v>0</v>
      </c>
      <c r="N8" s="426">
        <v>185000</v>
      </c>
      <c r="O8" s="427">
        <f t="shared" si="5"/>
        <v>185000</v>
      </c>
      <c r="P8" s="426">
        <v>1200</v>
      </c>
      <c r="Q8" s="428">
        <v>1200</v>
      </c>
      <c r="R8" s="429">
        <f t="shared" si="6"/>
        <v>0</v>
      </c>
      <c r="S8" s="419"/>
    </row>
    <row r="9" spans="1:19" x14ac:dyDescent="0.25">
      <c r="A9" s="722"/>
      <c r="B9" s="725"/>
      <c r="C9" s="421" t="s">
        <v>28</v>
      </c>
      <c r="D9" s="422">
        <f t="shared" si="0"/>
        <v>3850900</v>
      </c>
      <c r="E9" s="423">
        <f t="shared" si="1"/>
        <v>5568900</v>
      </c>
      <c r="F9" s="424">
        <f t="shared" si="2"/>
        <v>1718000</v>
      </c>
      <c r="G9" s="425">
        <v>3500000</v>
      </c>
      <c r="H9" s="426">
        <v>4800000</v>
      </c>
      <c r="I9" s="427">
        <f t="shared" si="3"/>
        <v>1300000</v>
      </c>
      <c r="J9" s="426">
        <v>350000</v>
      </c>
      <c r="K9" s="426">
        <v>480000</v>
      </c>
      <c r="L9" s="427">
        <f t="shared" si="4"/>
        <v>130000</v>
      </c>
      <c r="M9" s="426">
        <v>0</v>
      </c>
      <c r="N9" s="426">
        <v>288000</v>
      </c>
      <c r="O9" s="427">
        <f t="shared" si="5"/>
        <v>288000</v>
      </c>
      <c r="P9" s="426">
        <v>900</v>
      </c>
      <c r="Q9" s="428">
        <v>900</v>
      </c>
      <c r="R9" s="429">
        <f t="shared" si="6"/>
        <v>0</v>
      </c>
      <c r="S9" s="419"/>
    </row>
    <row r="10" spans="1:19" x14ac:dyDescent="0.25">
      <c r="A10" s="722"/>
      <c r="B10" s="725"/>
      <c r="C10" s="421" t="s">
        <v>29</v>
      </c>
      <c r="D10" s="422">
        <f t="shared" si="0"/>
        <v>4400600</v>
      </c>
      <c r="E10" s="423">
        <f t="shared" si="1"/>
        <v>6962100</v>
      </c>
      <c r="F10" s="424">
        <f t="shared" si="2"/>
        <v>2561500</v>
      </c>
      <c r="G10" s="425">
        <v>4000000</v>
      </c>
      <c r="H10" s="426">
        <v>5950000</v>
      </c>
      <c r="I10" s="427">
        <f t="shared" si="3"/>
        <v>1950000</v>
      </c>
      <c r="J10" s="426">
        <v>400000</v>
      </c>
      <c r="K10" s="426">
        <v>595000</v>
      </c>
      <c r="L10" s="427">
        <f t="shared" si="4"/>
        <v>195000</v>
      </c>
      <c r="M10" s="426">
        <v>0</v>
      </c>
      <c r="N10" s="426">
        <v>416500.00000000006</v>
      </c>
      <c r="O10" s="427">
        <f t="shared" si="5"/>
        <v>416500.00000000006</v>
      </c>
      <c r="P10" s="426">
        <v>600</v>
      </c>
      <c r="Q10" s="428">
        <v>600</v>
      </c>
      <c r="R10" s="429">
        <f t="shared" si="6"/>
        <v>0</v>
      </c>
      <c r="S10" s="419"/>
    </row>
    <row r="11" spans="1:19" x14ac:dyDescent="0.25">
      <c r="A11" s="722"/>
      <c r="B11" s="725"/>
      <c r="C11" s="421" t="s">
        <v>30</v>
      </c>
      <c r="D11" s="422">
        <f t="shared" si="0"/>
        <v>4950500</v>
      </c>
      <c r="E11" s="423">
        <f t="shared" si="1"/>
        <v>8496500</v>
      </c>
      <c r="F11" s="424">
        <f t="shared" si="2"/>
        <v>3546000</v>
      </c>
      <c r="G11" s="425">
        <v>4500000</v>
      </c>
      <c r="H11" s="426">
        <v>7200000</v>
      </c>
      <c r="I11" s="427">
        <f t="shared" si="3"/>
        <v>2700000</v>
      </c>
      <c r="J11" s="426">
        <v>450000</v>
      </c>
      <c r="K11" s="426">
        <v>720000</v>
      </c>
      <c r="L11" s="427">
        <f t="shared" si="4"/>
        <v>270000</v>
      </c>
      <c r="M11" s="426">
        <v>0</v>
      </c>
      <c r="N11" s="426">
        <v>576000</v>
      </c>
      <c r="O11" s="427">
        <f t="shared" si="5"/>
        <v>576000</v>
      </c>
      <c r="P11" s="426">
        <v>500</v>
      </c>
      <c r="Q11" s="428">
        <v>500</v>
      </c>
      <c r="R11" s="429">
        <f t="shared" si="6"/>
        <v>0</v>
      </c>
      <c r="S11" s="419"/>
    </row>
    <row r="12" spans="1:19" x14ac:dyDescent="0.25">
      <c r="A12" s="722"/>
      <c r="B12" s="725"/>
      <c r="C12" s="421" t="s">
        <v>31</v>
      </c>
      <c r="D12" s="422">
        <f t="shared" si="0"/>
        <v>5500400</v>
      </c>
      <c r="E12" s="423">
        <f t="shared" si="1"/>
        <v>10055900</v>
      </c>
      <c r="F12" s="424">
        <f t="shared" si="2"/>
        <v>4555500</v>
      </c>
      <c r="G12" s="425">
        <v>5000000</v>
      </c>
      <c r="H12" s="426">
        <v>8450000</v>
      </c>
      <c r="I12" s="427">
        <f t="shared" si="3"/>
        <v>3450000</v>
      </c>
      <c r="J12" s="426">
        <v>500000</v>
      </c>
      <c r="K12" s="426">
        <v>845000</v>
      </c>
      <c r="L12" s="427">
        <f t="shared" si="4"/>
        <v>345000</v>
      </c>
      <c r="M12" s="426">
        <v>0</v>
      </c>
      <c r="N12" s="426">
        <v>760500</v>
      </c>
      <c r="O12" s="427">
        <f t="shared" si="5"/>
        <v>760500</v>
      </c>
      <c r="P12" s="426">
        <v>400</v>
      </c>
      <c r="Q12" s="428">
        <v>400</v>
      </c>
      <c r="R12" s="429">
        <f t="shared" si="6"/>
        <v>0</v>
      </c>
      <c r="S12" s="419"/>
    </row>
    <row r="13" spans="1:19" x14ac:dyDescent="0.25">
      <c r="A13" s="722"/>
      <c r="B13" s="725"/>
      <c r="C13" s="421" t="s">
        <v>32</v>
      </c>
      <c r="D13" s="422">
        <f t="shared" si="0"/>
        <v>5830400</v>
      </c>
      <c r="E13" s="423">
        <f t="shared" si="1"/>
        <v>11520400</v>
      </c>
      <c r="F13" s="424">
        <f t="shared" si="2"/>
        <v>5690000</v>
      </c>
      <c r="G13" s="425">
        <v>5300000</v>
      </c>
      <c r="H13" s="426">
        <v>9600000</v>
      </c>
      <c r="I13" s="427">
        <f t="shared" si="3"/>
        <v>4300000</v>
      </c>
      <c r="J13" s="426">
        <v>530000</v>
      </c>
      <c r="K13" s="426">
        <v>960000</v>
      </c>
      <c r="L13" s="427">
        <f t="shared" si="4"/>
        <v>430000</v>
      </c>
      <c r="M13" s="426">
        <v>0</v>
      </c>
      <c r="N13" s="426">
        <v>960000</v>
      </c>
      <c r="O13" s="427">
        <f t="shared" si="5"/>
        <v>960000</v>
      </c>
      <c r="P13" s="426">
        <v>400</v>
      </c>
      <c r="Q13" s="428">
        <v>400</v>
      </c>
      <c r="R13" s="429">
        <f t="shared" si="6"/>
        <v>0</v>
      </c>
      <c r="S13" s="419"/>
    </row>
    <row r="14" spans="1:19" x14ac:dyDescent="0.25">
      <c r="A14" s="722"/>
      <c r="B14" s="725"/>
      <c r="C14" s="421" t="s">
        <v>33</v>
      </c>
      <c r="D14" s="422">
        <f t="shared" si="0"/>
        <v>6160400</v>
      </c>
      <c r="E14" s="423">
        <f t="shared" si="1"/>
        <v>13375400</v>
      </c>
      <c r="F14" s="424">
        <f t="shared" si="2"/>
        <v>7215000</v>
      </c>
      <c r="G14" s="425">
        <v>5600000</v>
      </c>
      <c r="H14" s="426">
        <v>10700000</v>
      </c>
      <c r="I14" s="427">
        <f t="shared" si="3"/>
        <v>5100000</v>
      </c>
      <c r="J14" s="426">
        <v>560000</v>
      </c>
      <c r="K14" s="426">
        <v>1070000</v>
      </c>
      <c r="L14" s="427">
        <f t="shared" si="4"/>
        <v>510000</v>
      </c>
      <c r="M14" s="426">
        <v>0</v>
      </c>
      <c r="N14" s="426">
        <v>1605000</v>
      </c>
      <c r="O14" s="427">
        <f t="shared" si="5"/>
        <v>1605000</v>
      </c>
      <c r="P14" s="426">
        <v>400</v>
      </c>
      <c r="Q14" s="428">
        <v>400</v>
      </c>
      <c r="R14" s="429">
        <f t="shared" si="6"/>
        <v>0</v>
      </c>
      <c r="S14" s="419"/>
    </row>
    <row r="15" spans="1:19" ht="15.75" thickBot="1" x14ac:dyDescent="0.3">
      <c r="A15" s="723"/>
      <c r="B15" s="726"/>
      <c r="C15" s="430" t="s">
        <v>34</v>
      </c>
      <c r="D15" s="431">
        <f t="shared" si="0"/>
        <v>6380400</v>
      </c>
      <c r="E15" s="432">
        <f t="shared" si="1"/>
        <v>12610400</v>
      </c>
      <c r="F15" s="433">
        <f t="shared" si="2"/>
        <v>6230000</v>
      </c>
      <c r="G15" s="434">
        <v>5800000</v>
      </c>
      <c r="H15" s="435">
        <v>9700000</v>
      </c>
      <c r="I15" s="436">
        <f t="shared" si="3"/>
        <v>3900000</v>
      </c>
      <c r="J15" s="435">
        <v>580000</v>
      </c>
      <c r="K15" s="435">
        <v>970000</v>
      </c>
      <c r="L15" s="436">
        <f t="shared" si="4"/>
        <v>390000</v>
      </c>
      <c r="M15" s="435">
        <v>0</v>
      </c>
      <c r="N15" s="435">
        <v>1940000</v>
      </c>
      <c r="O15" s="436">
        <f t="shared" si="5"/>
        <v>1940000</v>
      </c>
      <c r="P15" s="435">
        <v>400</v>
      </c>
      <c r="Q15" s="437">
        <v>400</v>
      </c>
      <c r="R15" s="438">
        <f t="shared" si="6"/>
        <v>0</v>
      </c>
      <c r="S15" s="419"/>
    </row>
    <row r="16" spans="1:19" x14ac:dyDescent="0.25">
      <c r="A16" s="721" t="s">
        <v>203</v>
      </c>
      <c r="B16" s="724" t="s">
        <v>13</v>
      </c>
      <c r="C16" s="410" t="s">
        <v>25</v>
      </c>
      <c r="D16" s="439"/>
      <c r="E16" s="440"/>
      <c r="F16" s="441"/>
      <c r="G16" s="442">
        <f>0.83+0.02+0.01+0.03</f>
        <v>0.89</v>
      </c>
      <c r="H16" s="443">
        <f>G16</f>
        <v>0.89</v>
      </c>
      <c r="I16" s="444">
        <f t="shared" si="3"/>
        <v>0</v>
      </c>
      <c r="J16" s="443">
        <f t="shared" ref="J16:J25" si="7">0.83+0.02+0.01+0.03</f>
        <v>0.89</v>
      </c>
      <c r="K16" s="443">
        <f>J16</f>
        <v>0.89</v>
      </c>
      <c r="L16" s="444">
        <f t="shared" si="4"/>
        <v>0</v>
      </c>
      <c r="M16" s="443">
        <f t="shared" ref="M16:M25" si="8">0.83+0.02+0.01+0.03</f>
        <v>0.89</v>
      </c>
      <c r="N16" s="443">
        <f>M16</f>
        <v>0.89</v>
      </c>
      <c r="O16" s="444">
        <f t="shared" si="5"/>
        <v>0</v>
      </c>
      <c r="P16" s="443">
        <f t="shared" ref="P16:P25" si="9">0.83+0.02+0.01+0.03</f>
        <v>0.89</v>
      </c>
      <c r="Q16" s="445">
        <f>P16</f>
        <v>0.89</v>
      </c>
      <c r="R16" s="446">
        <f t="shared" si="6"/>
        <v>0</v>
      </c>
      <c r="S16" s="419"/>
    </row>
    <row r="17" spans="1:19" x14ac:dyDescent="0.25">
      <c r="A17" s="722"/>
      <c r="B17" s="725"/>
      <c r="C17" s="421" t="s">
        <v>26</v>
      </c>
      <c r="D17" s="447"/>
      <c r="E17" s="448"/>
      <c r="F17" s="449"/>
      <c r="G17" s="450">
        <f t="shared" ref="G17:G25" si="10">0.83+0.02+0.01+0.03</f>
        <v>0.89</v>
      </c>
      <c r="H17" s="451">
        <f>G17</f>
        <v>0.89</v>
      </c>
      <c r="I17" s="452">
        <f t="shared" si="3"/>
        <v>0</v>
      </c>
      <c r="J17" s="451">
        <f t="shared" si="7"/>
        <v>0.89</v>
      </c>
      <c r="K17" s="451">
        <f>J17</f>
        <v>0.89</v>
      </c>
      <c r="L17" s="452">
        <f t="shared" si="4"/>
        <v>0</v>
      </c>
      <c r="M17" s="451">
        <f t="shared" si="8"/>
        <v>0.89</v>
      </c>
      <c r="N17" s="451">
        <f>M17</f>
        <v>0.89</v>
      </c>
      <c r="O17" s="452">
        <f t="shared" si="5"/>
        <v>0</v>
      </c>
      <c r="P17" s="451">
        <f t="shared" si="9"/>
        <v>0.89</v>
      </c>
      <c r="Q17" s="453">
        <f>P17</f>
        <v>0.89</v>
      </c>
      <c r="R17" s="454">
        <f t="shared" si="6"/>
        <v>0</v>
      </c>
      <c r="S17" s="419"/>
    </row>
    <row r="18" spans="1:19" x14ac:dyDescent="0.25">
      <c r="A18" s="722"/>
      <c r="B18" s="725"/>
      <c r="C18" s="421" t="s">
        <v>27</v>
      </c>
      <c r="D18" s="447"/>
      <c r="E18" s="448"/>
      <c r="F18" s="449"/>
      <c r="G18" s="450">
        <f t="shared" si="10"/>
        <v>0.89</v>
      </c>
      <c r="H18" s="451">
        <v>0.2</v>
      </c>
      <c r="I18" s="452">
        <f t="shared" si="3"/>
        <v>-0.69</v>
      </c>
      <c r="J18" s="451">
        <f t="shared" si="7"/>
        <v>0.89</v>
      </c>
      <c r="K18" s="451">
        <v>0.2</v>
      </c>
      <c r="L18" s="452">
        <f t="shared" si="4"/>
        <v>-0.69</v>
      </c>
      <c r="M18" s="451">
        <f t="shared" si="8"/>
        <v>0.89</v>
      </c>
      <c r="N18" s="451">
        <v>0.2</v>
      </c>
      <c r="O18" s="452">
        <f t="shared" si="5"/>
        <v>-0.69</v>
      </c>
      <c r="P18" s="451">
        <f t="shared" si="9"/>
        <v>0.89</v>
      </c>
      <c r="Q18" s="453">
        <v>0.2</v>
      </c>
      <c r="R18" s="454">
        <f t="shared" si="6"/>
        <v>-0.69</v>
      </c>
      <c r="S18" s="419"/>
    </row>
    <row r="19" spans="1:19" x14ac:dyDescent="0.25">
      <c r="A19" s="722"/>
      <c r="B19" s="725"/>
      <c r="C19" s="421" t="s">
        <v>28</v>
      </c>
      <c r="D19" s="447"/>
      <c r="E19" s="448"/>
      <c r="F19" s="449"/>
      <c r="G19" s="450">
        <f t="shared" si="10"/>
        <v>0.89</v>
      </c>
      <c r="H19" s="451">
        <v>0.2</v>
      </c>
      <c r="I19" s="452">
        <f t="shared" si="3"/>
        <v>-0.69</v>
      </c>
      <c r="J19" s="451">
        <f t="shared" si="7"/>
        <v>0.89</v>
      </c>
      <c r="K19" s="451">
        <v>0.2</v>
      </c>
      <c r="L19" s="452">
        <f t="shared" si="4"/>
        <v>-0.69</v>
      </c>
      <c r="M19" s="451">
        <f t="shared" si="8"/>
        <v>0.89</v>
      </c>
      <c r="N19" s="451">
        <v>0.2</v>
      </c>
      <c r="O19" s="452">
        <f t="shared" si="5"/>
        <v>-0.69</v>
      </c>
      <c r="P19" s="451">
        <f t="shared" si="9"/>
        <v>0.89</v>
      </c>
      <c r="Q19" s="453">
        <v>0.2</v>
      </c>
      <c r="R19" s="454">
        <f t="shared" si="6"/>
        <v>-0.69</v>
      </c>
      <c r="S19" s="419"/>
    </row>
    <row r="20" spans="1:19" x14ac:dyDescent="0.25">
      <c r="A20" s="722"/>
      <c r="B20" s="725"/>
      <c r="C20" s="421" t="s">
        <v>29</v>
      </c>
      <c r="D20" s="447"/>
      <c r="E20" s="448"/>
      <c r="F20" s="449"/>
      <c r="G20" s="450">
        <f t="shared" si="10"/>
        <v>0.89</v>
      </c>
      <c r="H20" s="451">
        <v>0.2</v>
      </c>
      <c r="I20" s="452">
        <f t="shared" si="3"/>
        <v>-0.69</v>
      </c>
      <c r="J20" s="451">
        <f t="shared" si="7"/>
        <v>0.89</v>
      </c>
      <c r="K20" s="451">
        <v>0.2</v>
      </c>
      <c r="L20" s="452">
        <f t="shared" si="4"/>
        <v>-0.69</v>
      </c>
      <c r="M20" s="451">
        <f t="shared" si="8"/>
        <v>0.89</v>
      </c>
      <c r="N20" s="451">
        <v>0.2</v>
      </c>
      <c r="O20" s="452">
        <f t="shared" si="5"/>
        <v>-0.69</v>
      </c>
      <c r="P20" s="451">
        <f t="shared" si="9"/>
        <v>0.89</v>
      </c>
      <c r="Q20" s="453">
        <v>0.2</v>
      </c>
      <c r="R20" s="454">
        <f t="shared" si="6"/>
        <v>-0.69</v>
      </c>
      <c r="S20" s="419"/>
    </row>
    <row r="21" spans="1:19" x14ac:dyDescent="0.25">
      <c r="A21" s="722"/>
      <c r="B21" s="725"/>
      <c r="C21" s="421" t="s">
        <v>30</v>
      </c>
      <c r="D21" s="447"/>
      <c r="E21" s="448"/>
      <c r="F21" s="449"/>
      <c r="G21" s="450">
        <f t="shared" si="10"/>
        <v>0.89</v>
      </c>
      <c r="H21" s="451">
        <v>0.2</v>
      </c>
      <c r="I21" s="452">
        <f t="shared" si="3"/>
        <v>-0.69</v>
      </c>
      <c r="J21" s="451">
        <f t="shared" si="7"/>
        <v>0.89</v>
      </c>
      <c r="K21" s="451">
        <v>0.2</v>
      </c>
      <c r="L21" s="452">
        <f t="shared" si="4"/>
        <v>-0.69</v>
      </c>
      <c r="M21" s="451">
        <f t="shared" si="8"/>
        <v>0.89</v>
      </c>
      <c r="N21" s="451">
        <v>0.2</v>
      </c>
      <c r="O21" s="452">
        <f t="shared" si="5"/>
        <v>-0.69</v>
      </c>
      <c r="P21" s="451">
        <f t="shared" si="9"/>
        <v>0.89</v>
      </c>
      <c r="Q21" s="453">
        <v>0.2</v>
      </c>
      <c r="R21" s="454">
        <f t="shared" si="6"/>
        <v>-0.69</v>
      </c>
      <c r="S21" s="419"/>
    </row>
    <row r="22" spans="1:19" x14ac:dyDescent="0.25">
      <c r="A22" s="722"/>
      <c r="B22" s="725"/>
      <c r="C22" s="421" t="s">
        <v>31</v>
      </c>
      <c r="D22" s="447"/>
      <c r="E22" s="448"/>
      <c r="F22" s="449"/>
      <c r="G22" s="450">
        <f t="shared" si="10"/>
        <v>0.89</v>
      </c>
      <c r="H22" s="451">
        <v>0.2</v>
      </c>
      <c r="I22" s="452">
        <f t="shared" si="3"/>
        <v>-0.69</v>
      </c>
      <c r="J22" s="451">
        <f t="shared" si="7"/>
        <v>0.89</v>
      </c>
      <c r="K22" s="451">
        <v>0.2</v>
      </c>
      <c r="L22" s="452">
        <f t="shared" si="4"/>
        <v>-0.69</v>
      </c>
      <c r="M22" s="451">
        <f t="shared" si="8"/>
        <v>0.89</v>
      </c>
      <c r="N22" s="451">
        <v>0.2</v>
      </c>
      <c r="O22" s="452">
        <f t="shared" si="5"/>
        <v>-0.69</v>
      </c>
      <c r="P22" s="451">
        <f t="shared" si="9"/>
        <v>0.89</v>
      </c>
      <c r="Q22" s="453">
        <v>0.2</v>
      </c>
      <c r="R22" s="454">
        <f t="shared" si="6"/>
        <v>-0.69</v>
      </c>
      <c r="S22" s="419"/>
    </row>
    <row r="23" spans="1:19" x14ac:dyDescent="0.25">
      <c r="A23" s="722"/>
      <c r="B23" s="725"/>
      <c r="C23" s="421" t="s">
        <v>32</v>
      </c>
      <c r="D23" s="447"/>
      <c r="E23" s="448"/>
      <c r="F23" s="449"/>
      <c r="G23" s="450">
        <f t="shared" si="10"/>
        <v>0.89</v>
      </c>
      <c r="H23" s="451">
        <v>0.2</v>
      </c>
      <c r="I23" s="452">
        <f t="shared" si="3"/>
        <v>-0.69</v>
      </c>
      <c r="J23" s="451">
        <f t="shared" si="7"/>
        <v>0.89</v>
      </c>
      <c r="K23" s="451">
        <v>0.2</v>
      </c>
      <c r="L23" s="452">
        <f t="shared" si="4"/>
        <v>-0.69</v>
      </c>
      <c r="M23" s="451">
        <f t="shared" si="8"/>
        <v>0.89</v>
      </c>
      <c r="N23" s="451">
        <v>0.2</v>
      </c>
      <c r="O23" s="452">
        <f t="shared" si="5"/>
        <v>-0.69</v>
      </c>
      <c r="P23" s="451">
        <f t="shared" si="9"/>
        <v>0.89</v>
      </c>
      <c r="Q23" s="453">
        <v>0.2</v>
      </c>
      <c r="R23" s="454">
        <f t="shared" si="6"/>
        <v>-0.69</v>
      </c>
      <c r="S23" s="419"/>
    </row>
    <row r="24" spans="1:19" x14ac:dyDescent="0.25">
      <c r="A24" s="722"/>
      <c r="B24" s="725"/>
      <c r="C24" s="421" t="s">
        <v>33</v>
      </c>
      <c r="D24" s="447"/>
      <c r="E24" s="448"/>
      <c r="F24" s="449"/>
      <c r="G24" s="450">
        <f t="shared" si="10"/>
        <v>0.89</v>
      </c>
      <c r="H24" s="451">
        <v>0.2</v>
      </c>
      <c r="I24" s="452">
        <f t="shared" si="3"/>
        <v>-0.69</v>
      </c>
      <c r="J24" s="451">
        <f t="shared" si="7"/>
        <v>0.89</v>
      </c>
      <c r="K24" s="451">
        <v>0.2</v>
      </c>
      <c r="L24" s="452">
        <f t="shared" si="4"/>
        <v>-0.69</v>
      </c>
      <c r="M24" s="451">
        <f t="shared" si="8"/>
        <v>0.89</v>
      </c>
      <c r="N24" s="451">
        <v>0.2</v>
      </c>
      <c r="O24" s="452">
        <f t="shared" si="5"/>
        <v>-0.69</v>
      </c>
      <c r="P24" s="451">
        <f t="shared" si="9"/>
        <v>0.89</v>
      </c>
      <c r="Q24" s="453">
        <v>0.2</v>
      </c>
      <c r="R24" s="454">
        <f t="shared" si="6"/>
        <v>-0.69</v>
      </c>
      <c r="S24" s="419"/>
    </row>
    <row r="25" spans="1:19" ht="15.75" thickBot="1" x14ac:dyDescent="0.3">
      <c r="A25" s="723"/>
      <c r="B25" s="726"/>
      <c r="C25" s="430" t="s">
        <v>34</v>
      </c>
      <c r="D25" s="455"/>
      <c r="E25" s="456"/>
      <c r="F25" s="457"/>
      <c r="G25" s="458">
        <f t="shared" si="10"/>
        <v>0.89</v>
      </c>
      <c r="H25" s="459">
        <v>0.2</v>
      </c>
      <c r="I25" s="460">
        <f t="shared" si="3"/>
        <v>-0.69</v>
      </c>
      <c r="J25" s="459">
        <f t="shared" si="7"/>
        <v>0.89</v>
      </c>
      <c r="K25" s="459">
        <v>0.2</v>
      </c>
      <c r="L25" s="460">
        <f t="shared" si="4"/>
        <v>-0.69</v>
      </c>
      <c r="M25" s="459">
        <f t="shared" si="8"/>
        <v>0.89</v>
      </c>
      <c r="N25" s="459">
        <v>0.2</v>
      </c>
      <c r="O25" s="460">
        <f t="shared" si="5"/>
        <v>-0.69</v>
      </c>
      <c r="P25" s="459">
        <f t="shared" si="9"/>
        <v>0.89</v>
      </c>
      <c r="Q25" s="461">
        <v>0.2</v>
      </c>
      <c r="R25" s="462">
        <f t="shared" si="6"/>
        <v>-0.69</v>
      </c>
      <c r="S25" s="419"/>
    </row>
    <row r="26" spans="1:19" s="464" customFormat="1" ht="14.25" customHeight="1" x14ac:dyDescent="0.25">
      <c r="A26" s="721" t="s">
        <v>42</v>
      </c>
      <c r="B26" s="724" t="s">
        <v>13</v>
      </c>
      <c r="C26" s="410" t="s">
        <v>25</v>
      </c>
      <c r="D26" s="439"/>
      <c r="E26" s="440"/>
      <c r="F26" s="441"/>
      <c r="G26" s="442">
        <v>1</v>
      </c>
      <c r="H26" s="443">
        <v>1</v>
      </c>
      <c r="I26" s="444">
        <f>H26-G26</f>
        <v>0</v>
      </c>
      <c r="J26" s="443">
        <v>1</v>
      </c>
      <c r="K26" s="443">
        <v>1</v>
      </c>
      <c r="L26" s="444">
        <f>K26-J26</f>
        <v>0</v>
      </c>
      <c r="M26" s="443">
        <v>1</v>
      </c>
      <c r="N26" s="443">
        <v>1</v>
      </c>
      <c r="O26" s="444">
        <f>N26-M26</f>
        <v>0</v>
      </c>
      <c r="P26" s="443">
        <v>1</v>
      </c>
      <c r="Q26" s="445">
        <v>1</v>
      </c>
      <c r="R26" s="446">
        <f>Q26-P26</f>
        <v>0</v>
      </c>
      <c r="S26" s="463"/>
    </row>
    <row r="27" spans="1:19" s="466" customFormat="1" x14ac:dyDescent="0.25">
      <c r="A27" s="722"/>
      <c r="B27" s="725"/>
      <c r="C27" s="421" t="s">
        <v>26</v>
      </c>
      <c r="D27" s="447"/>
      <c r="E27" s="448"/>
      <c r="F27" s="449"/>
      <c r="G27" s="450">
        <v>1</v>
      </c>
      <c r="H27" s="451">
        <v>1</v>
      </c>
      <c r="I27" s="452">
        <f t="shared" ref="I27:I44" si="11">H27-G27</f>
        <v>0</v>
      </c>
      <c r="J27" s="451">
        <v>1</v>
      </c>
      <c r="K27" s="451">
        <v>1</v>
      </c>
      <c r="L27" s="452">
        <f t="shared" ref="L27:L44" si="12">K27-J27</f>
        <v>0</v>
      </c>
      <c r="M27" s="451">
        <v>1</v>
      </c>
      <c r="N27" s="451">
        <v>1</v>
      </c>
      <c r="O27" s="452">
        <f t="shared" ref="O27:O44" si="13">N27-M27</f>
        <v>0</v>
      </c>
      <c r="P27" s="451">
        <v>1</v>
      </c>
      <c r="Q27" s="453">
        <v>1</v>
      </c>
      <c r="R27" s="454">
        <f t="shared" ref="R27:R54" si="14">Q27-P27</f>
        <v>0</v>
      </c>
      <c r="S27" s="465"/>
    </row>
    <row r="28" spans="1:19" s="466" customFormat="1" x14ac:dyDescent="0.25">
      <c r="A28" s="722"/>
      <c r="B28" s="725"/>
      <c r="C28" s="421" t="s">
        <v>27</v>
      </c>
      <c r="D28" s="447"/>
      <c r="E28" s="448"/>
      <c r="F28" s="449"/>
      <c r="G28" s="450">
        <v>1</v>
      </c>
      <c r="H28" s="451">
        <v>0.5</v>
      </c>
      <c r="I28" s="452">
        <f t="shared" si="11"/>
        <v>-0.5</v>
      </c>
      <c r="J28" s="451">
        <v>1</v>
      </c>
      <c r="K28" s="451">
        <v>0.5</v>
      </c>
      <c r="L28" s="452">
        <f t="shared" si="12"/>
        <v>-0.5</v>
      </c>
      <c r="M28" s="451">
        <v>1</v>
      </c>
      <c r="N28" s="451">
        <v>0.5</v>
      </c>
      <c r="O28" s="452">
        <f t="shared" si="13"/>
        <v>-0.5</v>
      </c>
      <c r="P28" s="451">
        <v>1</v>
      </c>
      <c r="Q28" s="453">
        <v>0.5</v>
      </c>
      <c r="R28" s="454">
        <f t="shared" si="14"/>
        <v>-0.5</v>
      </c>
      <c r="S28" s="465"/>
    </row>
    <row r="29" spans="1:19" s="466" customFormat="1" x14ac:dyDescent="0.25">
      <c r="A29" s="722"/>
      <c r="B29" s="725"/>
      <c r="C29" s="421" t="s">
        <v>28</v>
      </c>
      <c r="D29" s="447"/>
      <c r="E29" s="448"/>
      <c r="F29" s="449"/>
      <c r="G29" s="450">
        <v>1</v>
      </c>
      <c r="H29" s="451">
        <v>0.5</v>
      </c>
      <c r="I29" s="452">
        <f t="shared" si="11"/>
        <v>-0.5</v>
      </c>
      <c r="J29" s="451">
        <v>1</v>
      </c>
      <c r="K29" s="451">
        <v>0.5</v>
      </c>
      <c r="L29" s="452">
        <f t="shared" si="12"/>
        <v>-0.5</v>
      </c>
      <c r="M29" s="451">
        <v>1</v>
      </c>
      <c r="N29" s="451">
        <v>0.5</v>
      </c>
      <c r="O29" s="452">
        <f t="shared" si="13"/>
        <v>-0.5</v>
      </c>
      <c r="P29" s="451">
        <v>1</v>
      </c>
      <c r="Q29" s="453">
        <v>0.5</v>
      </c>
      <c r="R29" s="454">
        <f t="shared" si="14"/>
        <v>-0.5</v>
      </c>
      <c r="S29" s="465"/>
    </row>
    <row r="30" spans="1:19" s="466" customFormat="1" x14ac:dyDescent="0.25">
      <c r="A30" s="722"/>
      <c r="B30" s="725"/>
      <c r="C30" s="421" t="s">
        <v>29</v>
      </c>
      <c r="D30" s="447"/>
      <c r="E30" s="448"/>
      <c r="F30" s="449"/>
      <c r="G30" s="450">
        <v>1</v>
      </c>
      <c r="H30" s="451">
        <v>0.5</v>
      </c>
      <c r="I30" s="452">
        <f t="shared" si="11"/>
        <v>-0.5</v>
      </c>
      <c r="J30" s="451">
        <v>1</v>
      </c>
      <c r="K30" s="451">
        <v>0.5</v>
      </c>
      <c r="L30" s="452">
        <f t="shared" si="12"/>
        <v>-0.5</v>
      </c>
      <c r="M30" s="451">
        <v>1</v>
      </c>
      <c r="N30" s="451">
        <v>0.5</v>
      </c>
      <c r="O30" s="452">
        <f t="shared" si="13"/>
        <v>-0.5</v>
      </c>
      <c r="P30" s="451">
        <v>1</v>
      </c>
      <c r="Q30" s="453">
        <v>0.5</v>
      </c>
      <c r="R30" s="454">
        <f t="shared" si="14"/>
        <v>-0.5</v>
      </c>
      <c r="S30" s="465"/>
    </row>
    <row r="31" spans="1:19" s="466" customFormat="1" x14ac:dyDescent="0.25">
      <c r="A31" s="722"/>
      <c r="B31" s="725"/>
      <c r="C31" s="421" t="s">
        <v>30</v>
      </c>
      <c r="D31" s="447"/>
      <c r="E31" s="448"/>
      <c r="F31" s="449"/>
      <c r="G31" s="450">
        <v>1</v>
      </c>
      <c r="H31" s="451">
        <v>0.5</v>
      </c>
      <c r="I31" s="452">
        <f t="shared" si="11"/>
        <v>-0.5</v>
      </c>
      <c r="J31" s="451">
        <v>1</v>
      </c>
      <c r="K31" s="451">
        <v>0.5</v>
      </c>
      <c r="L31" s="452">
        <f t="shared" si="12"/>
        <v>-0.5</v>
      </c>
      <c r="M31" s="451">
        <v>1</v>
      </c>
      <c r="N31" s="451">
        <v>0.5</v>
      </c>
      <c r="O31" s="452">
        <f t="shared" si="13"/>
        <v>-0.5</v>
      </c>
      <c r="P31" s="451">
        <v>1</v>
      </c>
      <c r="Q31" s="453">
        <v>0.5</v>
      </c>
      <c r="R31" s="454">
        <f t="shared" si="14"/>
        <v>-0.5</v>
      </c>
      <c r="S31" s="465"/>
    </row>
    <row r="32" spans="1:19" s="466" customFormat="1" x14ac:dyDescent="0.25">
      <c r="A32" s="722"/>
      <c r="B32" s="725"/>
      <c r="C32" s="421" t="s">
        <v>31</v>
      </c>
      <c r="D32" s="447"/>
      <c r="E32" s="448"/>
      <c r="F32" s="449"/>
      <c r="G32" s="450">
        <v>1</v>
      </c>
      <c r="H32" s="451">
        <v>0.5</v>
      </c>
      <c r="I32" s="452">
        <f t="shared" si="11"/>
        <v>-0.5</v>
      </c>
      <c r="J32" s="451">
        <v>1</v>
      </c>
      <c r="K32" s="451">
        <v>0.5</v>
      </c>
      <c r="L32" s="452">
        <f t="shared" si="12"/>
        <v>-0.5</v>
      </c>
      <c r="M32" s="451">
        <v>1</v>
      </c>
      <c r="N32" s="451">
        <v>0.5</v>
      </c>
      <c r="O32" s="452">
        <f t="shared" si="13"/>
        <v>-0.5</v>
      </c>
      <c r="P32" s="451">
        <v>1</v>
      </c>
      <c r="Q32" s="453">
        <v>0.5</v>
      </c>
      <c r="R32" s="454">
        <f t="shared" si="14"/>
        <v>-0.5</v>
      </c>
      <c r="S32" s="465"/>
    </row>
    <row r="33" spans="1:19" s="466" customFormat="1" x14ac:dyDescent="0.25">
      <c r="A33" s="722"/>
      <c r="B33" s="725"/>
      <c r="C33" s="421" t="s">
        <v>32</v>
      </c>
      <c r="D33" s="447"/>
      <c r="E33" s="448"/>
      <c r="F33" s="449"/>
      <c r="G33" s="450">
        <v>1</v>
      </c>
      <c r="H33" s="451">
        <v>0.5</v>
      </c>
      <c r="I33" s="452">
        <f t="shared" si="11"/>
        <v>-0.5</v>
      </c>
      <c r="J33" s="451">
        <v>1</v>
      </c>
      <c r="K33" s="451">
        <v>0.5</v>
      </c>
      <c r="L33" s="452">
        <f t="shared" si="12"/>
        <v>-0.5</v>
      </c>
      <c r="M33" s="451">
        <v>1</v>
      </c>
      <c r="N33" s="451">
        <v>0.5</v>
      </c>
      <c r="O33" s="452">
        <f t="shared" si="13"/>
        <v>-0.5</v>
      </c>
      <c r="P33" s="451">
        <v>1</v>
      </c>
      <c r="Q33" s="453">
        <v>0.5</v>
      </c>
      <c r="R33" s="454">
        <f t="shared" si="14"/>
        <v>-0.5</v>
      </c>
      <c r="S33" s="465"/>
    </row>
    <row r="34" spans="1:19" s="466" customFormat="1" x14ac:dyDescent="0.25">
      <c r="A34" s="722"/>
      <c r="B34" s="725"/>
      <c r="C34" s="421" t="s">
        <v>33</v>
      </c>
      <c r="D34" s="447"/>
      <c r="E34" s="448"/>
      <c r="F34" s="449"/>
      <c r="G34" s="450">
        <v>1</v>
      </c>
      <c r="H34" s="451">
        <v>0.5</v>
      </c>
      <c r="I34" s="452">
        <f t="shared" si="11"/>
        <v>-0.5</v>
      </c>
      <c r="J34" s="451">
        <v>1</v>
      </c>
      <c r="K34" s="451">
        <v>0.5</v>
      </c>
      <c r="L34" s="452">
        <f t="shared" si="12"/>
        <v>-0.5</v>
      </c>
      <c r="M34" s="451">
        <v>1</v>
      </c>
      <c r="N34" s="451">
        <v>0.5</v>
      </c>
      <c r="O34" s="452">
        <f t="shared" si="13"/>
        <v>-0.5</v>
      </c>
      <c r="P34" s="451">
        <v>1</v>
      </c>
      <c r="Q34" s="453">
        <v>0.5</v>
      </c>
      <c r="R34" s="454">
        <f t="shared" si="14"/>
        <v>-0.5</v>
      </c>
      <c r="S34" s="465"/>
    </row>
    <row r="35" spans="1:19" s="466" customFormat="1" ht="15.75" thickBot="1" x14ac:dyDescent="0.3">
      <c r="A35" s="723"/>
      <c r="B35" s="726"/>
      <c r="C35" s="430" t="s">
        <v>34</v>
      </c>
      <c r="D35" s="455"/>
      <c r="E35" s="456"/>
      <c r="F35" s="457"/>
      <c r="G35" s="458">
        <v>1</v>
      </c>
      <c r="H35" s="459">
        <v>0.5</v>
      </c>
      <c r="I35" s="460">
        <f t="shared" si="11"/>
        <v>-0.5</v>
      </c>
      <c r="J35" s="459">
        <v>1</v>
      </c>
      <c r="K35" s="459">
        <v>0.5</v>
      </c>
      <c r="L35" s="460">
        <f t="shared" si="12"/>
        <v>-0.5</v>
      </c>
      <c r="M35" s="459">
        <v>1</v>
      </c>
      <c r="N35" s="459">
        <v>0.5</v>
      </c>
      <c r="O35" s="460">
        <f t="shared" si="13"/>
        <v>-0.5</v>
      </c>
      <c r="P35" s="459">
        <v>1</v>
      </c>
      <c r="Q35" s="461">
        <v>0.5</v>
      </c>
      <c r="R35" s="462">
        <f t="shared" si="14"/>
        <v>-0.5</v>
      </c>
      <c r="S35" s="465"/>
    </row>
    <row r="36" spans="1:19" s="464" customFormat="1" ht="14.45" customHeight="1" x14ac:dyDescent="0.25">
      <c r="A36" s="721" t="s">
        <v>207</v>
      </c>
      <c r="B36" s="724" t="s">
        <v>200</v>
      </c>
      <c r="C36" s="410" t="s">
        <v>25</v>
      </c>
      <c r="D36" s="439"/>
      <c r="E36" s="440"/>
      <c r="F36" s="441"/>
      <c r="G36" s="442">
        <v>0</v>
      </c>
      <c r="H36" s="443">
        <v>0</v>
      </c>
      <c r="I36" s="444">
        <f t="shared" si="11"/>
        <v>0</v>
      </c>
      <c r="J36" s="443">
        <v>0</v>
      </c>
      <c r="K36" s="443">
        <v>0</v>
      </c>
      <c r="L36" s="444">
        <f t="shared" si="12"/>
        <v>0</v>
      </c>
      <c r="M36" s="443">
        <v>0</v>
      </c>
      <c r="N36" s="443">
        <v>0</v>
      </c>
      <c r="O36" s="444">
        <f t="shared" si="13"/>
        <v>0</v>
      </c>
      <c r="P36" s="443">
        <v>5</v>
      </c>
      <c r="Q36" s="445">
        <v>5</v>
      </c>
      <c r="R36" s="446">
        <f t="shared" si="14"/>
        <v>0</v>
      </c>
      <c r="S36" s="463">
        <f>'Analyza citlivosti - AgendovéIS'!N7</f>
        <v>0</v>
      </c>
    </row>
    <row r="37" spans="1:19" s="466" customFormat="1" x14ac:dyDescent="0.25">
      <c r="A37" s="722"/>
      <c r="B37" s="725"/>
      <c r="C37" s="421" t="s">
        <v>26</v>
      </c>
      <c r="D37" s="447"/>
      <c r="E37" s="448"/>
      <c r="F37" s="449"/>
      <c r="G37" s="450">
        <v>0</v>
      </c>
      <c r="H37" s="451">
        <v>0</v>
      </c>
      <c r="I37" s="452">
        <f t="shared" si="11"/>
        <v>0</v>
      </c>
      <c r="J37" s="451">
        <v>0</v>
      </c>
      <c r="K37" s="451">
        <v>0</v>
      </c>
      <c r="L37" s="452">
        <f t="shared" si="12"/>
        <v>0</v>
      </c>
      <c r="M37" s="451">
        <v>0</v>
      </c>
      <c r="N37" s="451">
        <v>0</v>
      </c>
      <c r="O37" s="452">
        <f t="shared" si="13"/>
        <v>0</v>
      </c>
      <c r="P37" s="451">
        <v>5</v>
      </c>
      <c r="Q37" s="453">
        <v>5</v>
      </c>
      <c r="R37" s="454">
        <f t="shared" si="14"/>
        <v>0</v>
      </c>
      <c r="S37" s="465"/>
    </row>
    <row r="38" spans="1:19" s="466" customFormat="1" x14ac:dyDescent="0.25">
      <c r="A38" s="722"/>
      <c r="B38" s="725"/>
      <c r="C38" s="421" t="s">
        <v>27</v>
      </c>
      <c r="D38" s="447"/>
      <c r="E38" s="448"/>
      <c r="F38" s="449"/>
      <c r="G38" s="450">
        <v>0</v>
      </c>
      <c r="H38" s="451">
        <v>0</v>
      </c>
      <c r="I38" s="452">
        <f t="shared" si="11"/>
        <v>0</v>
      </c>
      <c r="J38" s="451">
        <v>0</v>
      </c>
      <c r="K38" s="451">
        <v>0</v>
      </c>
      <c r="L38" s="452">
        <f t="shared" si="12"/>
        <v>0</v>
      </c>
      <c r="M38" s="451">
        <v>0</v>
      </c>
      <c r="N38" s="451">
        <v>0</v>
      </c>
      <c r="O38" s="452">
        <f t="shared" si="13"/>
        <v>0</v>
      </c>
      <c r="P38" s="451">
        <v>5</v>
      </c>
      <c r="Q38" s="453">
        <v>2</v>
      </c>
      <c r="R38" s="454">
        <f t="shared" si="14"/>
        <v>-3</v>
      </c>
      <c r="S38" s="465"/>
    </row>
    <row r="39" spans="1:19" s="466" customFormat="1" x14ac:dyDescent="0.25">
      <c r="A39" s="722"/>
      <c r="B39" s="725"/>
      <c r="C39" s="421" t="s">
        <v>28</v>
      </c>
      <c r="D39" s="447"/>
      <c r="E39" s="448"/>
      <c r="F39" s="449"/>
      <c r="G39" s="450">
        <v>0</v>
      </c>
      <c r="H39" s="451">
        <v>0</v>
      </c>
      <c r="I39" s="452">
        <f t="shared" si="11"/>
        <v>0</v>
      </c>
      <c r="J39" s="451">
        <v>0</v>
      </c>
      <c r="K39" s="451">
        <v>0</v>
      </c>
      <c r="L39" s="452">
        <f t="shared" si="12"/>
        <v>0</v>
      </c>
      <c r="M39" s="451">
        <v>0</v>
      </c>
      <c r="N39" s="451">
        <v>0</v>
      </c>
      <c r="O39" s="452">
        <f t="shared" si="13"/>
        <v>0</v>
      </c>
      <c r="P39" s="451">
        <v>5</v>
      </c>
      <c r="Q39" s="453">
        <v>2</v>
      </c>
      <c r="R39" s="454">
        <f t="shared" si="14"/>
        <v>-3</v>
      </c>
      <c r="S39" s="465"/>
    </row>
    <row r="40" spans="1:19" s="466" customFormat="1" x14ac:dyDescent="0.25">
      <c r="A40" s="722"/>
      <c r="B40" s="725"/>
      <c r="C40" s="421" t="s">
        <v>29</v>
      </c>
      <c r="D40" s="447"/>
      <c r="E40" s="448"/>
      <c r="F40" s="449"/>
      <c r="G40" s="450">
        <v>0</v>
      </c>
      <c r="H40" s="451">
        <v>0</v>
      </c>
      <c r="I40" s="452">
        <f t="shared" si="11"/>
        <v>0</v>
      </c>
      <c r="J40" s="451">
        <v>0</v>
      </c>
      <c r="K40" s="451">
        <v>0</v>
      </c>
      <c r="L40" s="452">
        <f t="shared" si="12"/>
        <v>0</v>
      </c>
      <c r="M40" s="451">
        <v>0</v>
      </c>
      <c r="N40" s="451">
        <v>0</v>
      </c>
      <c r="O40" s="452">
        <f t="shared" si="13"/>
        <v>0</v>
      </c>
      <c r="P40" s="451">
        <v>5</v>
      </c>
      <c r="Q40" s="453">
        <v>2</v>
      </c>
      <c r="R40" s="454">
        <f t="shared" si="14"/>
        <v>-3</v>
      </c>
      <c r="S40" s="465"/>
    </row>
    <row r="41" spans="1:19" s="466" customFormat="1" x14ac:dyDescent="0.25">
      <c r="A41" s="722"/>
      <c r="B41" s="725"/>
      <c r="C41" s="421" t="s">
        <v>30</v>
      </c>
      <c r="D41" s="447"/>
      <c r="E41" s="448"/>
      <c r="F41" s="449"/>
      <c r="G41" s="450">
        <v>0</v>
      </c>
      <c r="H41" s="451">
        <v>0</v>
      </c>
      <c r="I41" s="452">
        <f t="shared" si="11"/>
        <v>0</v>
      </c>
      <c r="J41" s="451">
        <v>0</v>
      </c>
      <c r="K41" s="451">
        <v>0</v>
      </c>
      <c r="L41" s="452">
        <f t="shared" si="12"/>
        <v>0</v>
      </c>
      <c r="M41" s="451">
        <v>0</v>
      </c>
      <c r="N41" s="451">
        <v>0</v>
      </c>
      <c r="O41" s="452">
        <f t="shared" si="13"/>
        <v>0</v>
      </c>
      <c r="P41" s="451">
        <v>5</v>
      </c>
      <c r="Q41" s="453">
        <v>2</v>
      </c>
      <c r="R41" s="454">
        <f t="shared" si="14"/>
        <v>-3</v>
      </c>
      <c r="S41" s="465"/>
    </row>
    <row r="42" spans="1:19" s="466" customFormat="1" x14ac:dyDescent="0.25">
      <c r="A42" s="722"/>
      <c r="B42" s="725"/>
      <c r="C42" s="421" t="s">
        <v>31</v>
      </c>
      <c r="D42" s="447"/>
      <c r="E42" s="448"/>
      <c r="F42" s="449"/>
      <c r="G42" s="450">
        <v>0</v>
      </c>
      <c r="H42" s="451">
        <v>0</v>
      </c>
      <c r="I42" s="452">
        <f t="shared" si="11"/>
        <v>0</v>
      </c>
      <c r="J42" s="451">
        <v>0</v>
      </c>
      <c r="K42" s="451">
        <v>0</v>
      </c>
      <c r="L42" s="452">
        <f t="shared" si="12"/>
        <v>0</v>
      </c>
      <c r="M42" s="451">
        <v>0</v>
      </c>
      <c r="N42" s="451">
        <v>0</v>
      </c>
      <c r="O42" s="452">
        <f t="shared" si="13"/>
        <v>0</v>
      </c>
      <c r="P42" s="451">
        <v>5</v>
      </c>
      <c r="Q42" s="453">
        <v>2</v>
      </c>
      <c r="R42" s="454">
        <f t="shared" si="14"/>
        <v>-3</v>
      </c>
      <c r="S42" s="465"/>
    </row>
    <row r="43" spans="1:19" s="466" customFormat="1" x14ac:dyDescent="0.25">
      <c r="A43" s="722"/>
      <c r="B43" s="725"/>
      <c r="C43" s="421" t="s">
        <v>32</v>
      </c>
      <c r="D43" s="447"/>
      <c r="E43" s="448"/>
      <c r="F43" s="449"/>
      <c r="G43" s="450">
        <v>0</v>
      </c>
      <c r="H43" s="451">
        <v>0</v>
      </c>
      <c r="I43" s="452">
        <f t="shared" si="11"/>
        <v>0</v>
      </c>
      <c r="J43" s="451">
        <v>0</v>
      </c>
      <c r="K43" s="451">
        <v>0</v>
      </c>
      <c r="L43" s="452">
        <f t="shared" si="12"/>
        <v>0</v>
      </c>
      <c r="M43" s="451">
        <v>0</v>
      </c>
      <c r="N43" s="451">
        <v>0</v>
      </c>
      <c r="O43" s="452">
        <f t="shared" si="13"/>
        <v>0</v>
      </c>
      <c r="P43" s="451">
        <v>5</v>
      </c>
      <c r="Q43" s="453">
        <v>2</v>
      </c>
      <c r="R43" s="454">
        <f t="shared" si="14"/>
        <v>-3</v>
      </c>
      <c r="S43" s="465"/>
    </row>
    <row r="44" spans="1:19" s="466" customFormat="1" x14ac:dyDescent="0.25">
      <c r="A44" s="722"/>
      <c r="B44" s="725"/>
      <c r="C44" s="421" t="s">
        <v>33</v>
      </c>
      <c r="D44" s="447"/>
      <c r="E44" s="448"/>
      <c r="F44" s="449"/>
      <c r="G44" s="450">
        <v>0</v>
      </c>
      <c r="H44" s="451">
        <v>0</v>
      </c>
      <c r="I44" s="452">
        <f t="shared" si="11"/>
        <v>0</v>
      </c>
      <c r="J44" s="451">
        <v>0</v>
      </c>
      <c r="K44" s="451">
        <v>0</v>
      </c>
      <c r="L44" s="452">
        <f t="shared" si="12"/>
        <v>0</v>
      </c>
      <c r="M44" s="451">
        <v>0</v>
      </c>
      <c r="N44" s="451">
        <v>0</v>
      </c>
      <c r="O44" s="452">
        <f t="shared" si="13"/>
        <v>0</v>
      </c>
      <c r="P44" s="451">
        <v>5</v>
      </c>
      <c r="Q44" s="453">
        <v>2</v>
      </c>
      <c r="R44" s="454">
        <f t="shared" si="14"/>
        <v>-3</v>
      </c>
      <c r="S44" s="465"/>
    </row>
    <row r="45" spans="1:19" s="466" customFormat="1" ht="15.75" thickBot="1" x14ac:dyDescent="0.3">
      <c r="A45" s="723"/>
      <c r="B45" s="726"/>
      <c r="C45" s="430" t="s">
        <v>34</v>
      </c>
      <c r="D45" s="455"/>
      <c r="E45" s="456"/>
      <c r="F45" s="457"/>
      <c r="G45" s="458">
        <v>0</v>
      </c>
      <c r="H45" s="459">
        <v>0</v>
      </c>
      <c r="I45" s="460">
        <f>H45-G45</f>
        <v>0</v>
      </c>
      <c r="J45" s="459">
        <v>0</v>
      </c>
      <c r="K45" s="459">
        <v>0</v>
      </c>
      <c r="L45" s="460">
        <f>K45-J45</f>
        <v>0</v>
      </c>
      <c r="M45" s="459">
        <v>0</v>
      </c>
      <c r="N45" s="459">
        <v>0</v>
      </c>
      <c r="O45" s="460">
        <f>N45-M45</f>
        <v>0</v>
      </c>
      <c r="P45" s="459">
        <v>5</v>
      </c>
      <c r="Q45" s="461">
        <v>2</v>
      </c>
      <c r="R45" s="462">
        <f>Q45-P45</f>
        <v>-3</v>
      </c>
      <c r="S45" s="465"/>
    </row>
    <row r="46" spans="1:19" s="464" customFormat="1" ht="14.45" customHeight="1" x14ac:dyDescent="0.25">
      <c r="A46" s="721" t="s">
        <v>206</v>
      </c>
      <c r="B46" s="724" t="s">
        <v>38</v>
      </c>
      <c r="C46" s="410" t="s">
        <v>25</v>
      </c>
      <c r="D46" s="439">
        <f>SUM(G46,J46,M46,P46)</f>
        <v>1.4</v>
      </c>
      <c r="E46" s="440">
        <f>SUM(H46,K46,N46,Q46)</f>
        <v>1.4</v>
      </c>
      <c r="F46" s="441">
        <f>D46-E46</f>
        <v>0</v>
      </c>
      <c r="G46" s="442">
        <v>0.2</v>
      </c>
      <c r="H46" s="443">
        <v>0.2</v>
      </c>
      <c r="I46" s="444">
        <f t="shared" ref="I46:I54" si="15">H46-G46</f>
        <v>0</v>
      </c>
      <c r="J46" s="443">
        <v>0.6</v>
      </c>
      <c r="K46" s="443">
        <v>0.6</v>
      </c>
      <c r="L46" s="444">
        <f t="shared" ref="L46:L54" si="16">K46-J46</f>
        <v>0</v>
      </c>
      <c r="M46" s="443">
        <v>0.6</v>
      </c>
      <c r="N46" s="443">
        <v>0.6</v>
      </c>
      <c r="O46" s="444">
        <f t="shared" ref="O46:O54" si="17">N46-M46</f>
        <v>0</v>
      </c>
      <c r="P46" s="443">
        <v>0</v>
      </c>
      <c r="Q46" s="445">
        <v>0</v>
      </c>
      <c r="R46" s="446">
        <f t="shared" si="14"/>
        <v>0</v>
      </c>
      <c r="S46" s="463">
        <f>'Analyza citlivosti - AgendovéIS'!Q7</f>
        <v>0</v>
      </c>
    </row>
    <row r="47" spans="1:19" s="466" customFormat="1" x14ac:dyDescent="0.25">
      <c r="A47" s="722"/>
      <c r="B47" s="725"/>
      <c r="C47" s="421" t="s">
        <v>26</v>
      </c>
      <c r="D47" s="447">
        <f t="shared" ref="D47:D55" si="18">SUM(G47,J47,M47,P47)</f>
        <v>1.4</v>
      </c>
      <c r="E47" s="448">
        <f t="shared" ref="E47:E55" si="19">SUM(H47,K47,N47,Q47)</f>
        <v>1.4</v>
      </c>
      <c r="F47" s="449">
        <f t="shared" ref="F47:F55" si="20">D47-E47</f>
        <v>0</v>
      </c>
      <c r="G47" s="450">
        <v>0.2</v>
      </c>
      <c r="H47" s="451">
        <v>0.2</v>
      </c>
      <c r="I47" s="452">
        <f t="shared" si="15"/>
        <v>0</v>
      </c>
      <c r="J47" s="451">
        <v>0.6</v>
      </c>
      <c r="K47" s="451">
        <v>0.6</v>
      </c>
      <c r="L47" s="452">
        <f t="shared" si="16"/>
        <v>0</v>
      </c>
      <c r="M47" s="451">
        <v>0.6</v>
      </c>
      <c r="N47" s="451">
        <v>0.6</v>
      </c>
      <c r="O47" s="452">
        <f t="shared" si="17"/>
        <v>0</v>
      </c>
      <c r="P47" s="451">
        <v>0</v>
      </c>
      <c r="Q47" s="453">
        <v>0</v>
      </c>
      <c r="R47" s="454">
        <f t="shared" si="14"/>
        <v>0</v>
      </c>
      <c r="S47" s="465"/>
    </row>
    <row r="48" spans="1:19" s="466" customFormat="1" x14ac:dyDescent="0.25">
      <c r="A48" s="722"/>
      <c r="B48" s="725"/>
      <c r="C48" s="421" t="s">
        <v>27</v>
      </c>
      <c r="D48" s="447">
        <f t="shared" si="18"/>
        <v>1.4</v>
      </c>
      <c r="E48" s="448">
        <f t="shared" si="19"/>
        <v>0.30000000000000004</v>
      </c>
      <c r="F48" s="449">
        <f t="shared" si="20"/>
        <v>1.0999999999999999</v>
      </c>
      <c r="G48" s="450">
        <v>0.2</v>
      </c>
      <c r="H48" s="451">
        <v>0.1</v>
      </c>
      <c r="I48" s="452">
        <f t="shared" si="15"/>
        <v>-0.1</v>
      </c>
      <c r="J48" s="451">
        <v>0.6</v>
      </c>
      <c r="K48" s="451">
        <v>0.1</v>
      </c>
      <c r="L48" s="452">
        <f t="shared" si="16"/>
        <v>-0.5</v>
      </c>
      <c r="M48" s="451">
        <v>0.6</v>
      </c>
      <c r="N48" s="451">
        <v>0.1</v>
      </c>
      <c r="O48" s="452">
        <f t="shared" si="17"/>
        <v>-0.5</v>
      </c>
      <c r="P48" s="451">
        <v>0</v>
      </c>
      <c r="Q48" s="453">
        <v>0</v>
      </c>
      <c r="R48" s="454">
        <f t="shared" si="14"/>
        <v>0</v>
      </c>
      <c r="S48" s="465"/>
    </row>
    <row r="49" spans="1:19" s="466" customFormat="1" x14ac:dyDescent="0.25">
      <c r="A49" s="722"/>
      <c r="B49" s="725"/>
      <c r="C49" s="421" t="s">
        <v>28</v>
      </c>
      <c r="D49" s="447">
        <f t="shared" si="18"/>
        <v>1.4</v>
      </c>
      <c r="E49" s="448">
        <f t="shared" si="19"/>
        <v>0.30000000000000004</v>
      </c>
      <c r="F49" s="449">
        <f t="shared" si="20"/>
        <v>1.0999999999999999</v>
      </c>
      <c r="G49" s="450">
        <v>0.2</v>
      </c>
      <c r="H49" s="451">
        <v>0.1</v>
      </c>
      <c r="I49" s="452">
        <f t="shared" si="15"/>
        <v>-0.1</v>
      </c>
      <c r="J49" s="451">
        <v>0.6</v>
      </c>
      <c r="K49" s="451">
        <v>0.1</v>
      </c>
      <c r="L49" s="452">
        <f t="shared" si="16"/>
        <v>-0.5</v>
      </c>
      <c r="M49" s="451">
        <v>0.6</v>
      </c>
      <c r="N49" s="451">
        <v>0.1</v>
      </c>
      <c r="O49" s="452">
        <f t="shared" si="17"/>
        <v>-0.5</v>
      </c>
      <c r="P49" s="451">
        <v>0</v>
      </c>
      <c r="Q49" s="453">
        <v>0</v>
      </c>
      <c r="R49" s="454">
        <f t="shared" si="14"/>
        <v>0</v>
      </c>
      <c r="S49" s="465"/>
    </row>
    <row r="50" spans="1:19" s="466" customFormat="1" x14ac:dyDescent="0.25">
      <c r="A50" s="722"/>
      <c r="B50" s="725"/>
      <c r="C50" s="421" t="s">
        <v>29</v>
      </c>
      <c r="D50" s="447">
        <f t="shared" si="18"/>
        <v>1.4</v>
      </c>
      <c r="E50" s="448">
        <f t="shared" si="19"/>
        <v>0.30000000000000004</v>
      </c>
      <c r="F50" s="449">
        <f t="shared" si="20"/>
        <v>1.0999999999999999</v>
      </c>
      <c r="G50" s="450">
        <v>0.2</v>
      </c>
      <c r="H50" s="451">
        <v>0.1</v>
      </c>
      <c r="I50" s="452">
        <f t="shared" si="15"/>
        <v>-0.1</v>
      </c>
      <c r="J50" s="451">
        <v>0.6</v>
      </c>
      <c r="K50" s="451">
        <v>0.1</v>
      </c>
      <c r="L50" s="452">
        <f t="shared" si="16"/>
        <v>-0.5</v>
      </c>
      <c r="M50" s="451">
        <v>0.6</v>
      </c>
      <c r="N50" s="451">
        <v>0.1</v>
      </c>
      <c r="O50" s="452">
        <f t="shared" si="17"/>
        <v>-0.5</v>
      </c>
      <c r="P50" s="451">
        <v>0</v>
      </c>
      <c r="Q50" s="453">
        <v>0</v>
      </c>
      <c r="R50" s="454">
        <f t="shared" si="14"/>
        <v>0</v>
      </c>
      <c r="S50" s="465"/>
    </row>
    <row r="51" spans="1:19" s="466" customFormat="1" x14ac:dyDescent="0.25">
      <c r="A51" s="722"/>
      <c r="B51" s="725"/>
      <c r="C51" s="421" t="s">
        <v>30</v>
      </c>
      <c r="D51" s="447">
        <f t="shared" si="18"/>
        <v>1.4</v>
      </c>
      <c r="E51" s="448">
        <f t="shared" si="19"/>
        <v>0.30000000000000004</v>
      </c>
      <c r="F51" s="449">
        <f t="shared" si="20"/>
        <v>1.0999999999999999</v>
      </c>
      <c r="G51" s="450">
        <v>0.2</v>
      </c>
      <c r="H51" s="451">
        <v>0.1</v>
      </c>
      <c r="I51" s="452">
        <f t="shared" si="15"/>
        <v>-0.1</v>
      </c>
      <c r="J51" s="451">
        <v>0.6</v>
      </c>
      <c r="K51" s="451">
        <v>0.1</v>
      </c>
      <c r="L51" s="452">
        <f t="shared" si="16"/>
        <v>-0.5</v>
      </c>
      <c r="M51" s="451">
        <v>0.6</v>
      </c>
      <c r="N51" s="451">
        <v>0.1</v>
      </c>
      <c r="O51" s="452">
        <f t="shared" si="17"/>
        <v>-0.5</v>
      </c>
      <c r="P51" s="451">
        <v>0</v>
      </c>
      <c r="Q51" s="453">
        <v>0</v>
      </c>
      <c r="R51" s="454">
        <f t="shared" si="14"/>
        <v>0</v>
      </c>
      <c r="S51" s="465"/>
    </row>
    <row r="52" spans="1:19" s="466" customFormat="1" x14ac:dyDescent="0.25">
      <c r="A52" s="722"/>
      <c r="B52" s="725"/>
      <c r="C52" s="421" t="s">
        <v>31</v>
      </c>
      <c r="D52" s="447">
        <f t="shared" si="18"/>
        <v>1.4</v>
      </c>
      <c r="E52" s="448">
        <f t="shared" si="19"/>
        <v>0.30000000000000004</v>
      </c>
      <c r="F52" s="449">
        <f t="shared" si="20"/>
        <v>1.0999999999999999</v>
      </c>
      <c r="G52" s="450">
        <v>0.2</v>
      </c>
      <c r="H52" s="451">
        <v>0.1</v>
      </c>
      <c r="I52" s="452">
        <f t="shared" si="15"/>
        <v>-0.1</v>
      </c>
      <c r="J52" s="451">
        <v>0.6</v>
      </c>
      <c r="K52" s="451">
        <v>0.1</v>
      </c>
      <c r="L52" s="452">
        <f t="shared" si="16"/>
        <v>-0.5</v>
      </c>
      <c r="M52" s="451">
        <v>0.6</v>
      </c>
      <c r="N52" s="451">
        <v>0.1</v>
      </c>
      <c r="O52" s="452">
        <f t="shared" si="17"/>
        <v>-0.5</v>
      </c>
      <c r="P52" s="451">
        <v>0</v>
      </c>
      <c r="Q52" s="453">
        <v>0</v>
      </c>
      <c r="R52" s="454">
        <f t="shared" si="14"/>
        <v>0</v>
      </c>
      <c r="S52" s="465"/>
    </row>
    <row r="53" spans="1:19" s="466" customFormat="1" x14ac:dyDescent="0.25">
      <c r="A53" s="722"/>
      <c r="B53" s="725"/>
      <c r="C53" s="421" t="s">
        <v>32</v>
      </c>
      <c r="D53" s="447">
        <f t="shared" si="18"/>
        <v>1.4</v>
      </c>
      <c r="E53" s="448">
        <f t="shared" si="19"/>
        <v>0.30000000000000004</v>
      </c>
      <c r="F53" s="449">
        <f t="shared" si="20"/>
        <v>1.0999999999999999</v>
      </c>
      <c r="G53" s="450">
        <v>0.2</v>
      </c>
      <c r="H53" s="451">
        <v>0.1</v>
      </c>
      <c r="I53" s="452">
        <f t="shared" si="15"/>
        <v>-0.1</v>
      </c>
      <c r="J53" s="451">
        <v>0.6</v>
      </c>
      <c r="K53" s="451">
        <v>0.1</v>
      </c>
      <c r="L53" s="452">
        <f t="shared" si="16"/>
        <v>-0.5</v>
      </c>
      <c r="M53" s="451">
        <v>0.6</v>
      </c>
      <c r="N53" s="451">
        <v>0.1</v>
      </c>
      <c r="O53" s="452">
        <f t="shared" si="17"/>
        <v>-0.5</v>
      </c>
      <c r="P53" s="451">
        <v>0</v>
      </c>
      <c r="Q53" s="453">
        <v>0</v>
      </c>
      <c r="R53" s="454">
        <f t="shared" si="14"/>
        <v>0</v>
      </c>
      <c r="S53" s="465"/>
    </row>
    <row r="54" spans="1:19" s="466" customFormat="1" x14ac:dyDescent="0.25">
      <c r="A54" s="722"/>
      <c r="B54" s="725"/>
      <c r="C54" s="421" t="s">
        <v>33</v>
      </c>
      <c r="D54" s="447">
        <f t="shared" si="18"/>
        <v>1.4</v>
      </c>
      <c r="E54" s="448">
        <f t="shared" si="19"/>
        <v>0.30000000000000004</v>
      </c>
      <c r="F54" s="449">
        <f t="shared" si="20"/>
        <v>1.0999999999999999</v>
      </c>
      <c r="G54" s="450">
        <v>0.2</v>
      </c>
      <c r="H54" s="451">
        <v>0.1</v>
      </c>
      <c r="I54" s="452">
        <f t="shared" si="15"/>
        <v>-0.1</v>
      </c>
      <c r="J54" s="451">
        <v>0.6</v>
      </c>
      <c r="K54" s="451">
        <v>0.1</v>
      </c>
      <c r="L54" s="452">
        <f t="shared" si="16"/>
        <v>-0.5</v>
      </c>
      <c r="M54" s="451">
        <v>0.6</v>
      </c>
      <c r="N54" s="451">
        <v>0.1</v>
      </c>
      <c r="O54" s="452">
        <f t="shared" si="17"/>
        <v>-0.5</v>
      </c>
      <c r="P54" s="451">
        <v>0</v>
      </c>
      <c r="Q54" s="453">
        <v>0</v>
      </c>
      <c r="R54" s="454">
        <f t="shared" si="14"/>
        <v>0</v>
      </c>
      <c r="S54" s="465"/>
    </row>
    <row r="55" spans="1:19" s="466" customFormat="1" ht="15.75" thickBot="1" x14ac:dyDescent="0.3">
      <c r="A55" s="723"/>
      <c r="B55" s="726"/>
      <c r="C55" s="430" t="s">
        <v>34</v>
      </c>
      <c r="D55" s="455">
        <f t="shared" si="18"/>
        <v>1.4</v>
      </c>
      <c r="E55" s="456">
        <f t="shared" si="19"/>
        <v>0.30000000000000004</v>
      </c>
      <c r="F55" s="457">
        <f t="shared" si="20"/>
        <v>1.0999999999999999</v>
      </c>
      <c r="G55" s="458">
        <v>0.2</v>
      </c>
      <c r="H55" s="459">
        <v>0.1</v>
      </c>
      <c r="I55" s="460">
        <f>H55-G55</f>
        <v>-0.1</v>
      </c>
      <c r="J55" s="459">
        <v>0.6</v>
      </c>
      <c r="K55" s="459">
        <v>0.1</v>
      </c>
      <c r="L55" s="460">
        <f>K55-J55</f>
        <v>-0.5</v>
      </c>
      <c r="M55" s="459">
        <v>0.6</v>
      </c>
      <c r="N55" s="459">
        <v>0.1</v>
      </c>
      <c r="O55" s="460">
        <f>N55-M55</f>
        <v>-0.5</v>
      </c>
      <c r="P55" s="459">
        <v>0</v>
      </c>
      <c r="Q55" s="461">
        <v>0</v>
      </c>
      <c r="R55" s="462">
        <f>Q55-P55</f>
        <v>0</v>
      </c>
      <c r="S55" s="465"/>
    </row>
    <row r="56" spans="1:19" s="464" customFormat="1" ht="14.25" customHeight="1" x14ac:dyDescent="0.25">
      <c r="A56" s="722" t="s">
        <v>39</v>
      </c>
      <c r="B56" s="725" t="s">
        <v>13</v>
      </c>
      <c r="C56" s="421" t="s">
        <v>25</v>
      </c>
      <c r="D56" s="411">
        <f>G56+J56+M56+P56</f>
        <v>0</v>
      </c>
      <c r="E56" s="412">
        <f>H56+K56+N56+Q56</f>
        <v>0</v>
      </c>
      <c r="F56" s="413">
        <f>I56+L56+O56+R56</f>
        <v>0</v>
      </c>
      <c r="G56" s="414"/>
      <c r="H56" s="415"/>
      <c r="I56" s="416">
        <f t="shared" ref="I56:I65" si="21">H56-G56</f>
        <v>0</v>
      </c>
      <c r="J56" s="415"/>
      <c r="K56" s="415"/>
      <c r="L56" s="416">
        <f t="shared" ref="L56:L65" si="22">K56-J56</f>
        <v>0</v>
      </c>
      <c r="M56" s="415"/>
      <c r="N56" s="415"/>
      <c r="O56" s="416">
        <f t="shared" ref="O56:O65" si="23">N56-M56</f>
        <v>0</v>
      </c>
      <c r="P56" s="415"/>
      <c r="Q56" s="417"/>
      <c r="R56" s="418">
        <f t="shared" ref="R56:R65" si="24">Q56-P56</f>
        <v>0</v>
      </c>
      <c r="S56" s="463"/>
    </row>
    <row r="57" spans="1:19" s="466" customFormat="1" x14ac:dyDescent="0.25">
      <c r="A57" s="722"/>
      <c r="B57" s="725"/>
      <c r="C57" s="421" t="s">
        <v>26</v>
      </c>
      <c r="D57" s="422">
        <f t="shared" ref="D57:D65" si="25">G57+J57+M57+P57</f>
        <v>0</v>
      </c>
      <c r="E57" s="423">
        <f t="shared" ref="E57:E65" si="26">H57+K57+N57+Q57</f>
        <v>0</v>
      </c>
      <c r="F57" s="424">
        <f t="shared" ref="F57:F65" si="27">I57+L57+O57+R57</f>
        <v>0</v>
      </c>
      <c r="G57" s="425"/>
      <c r="H57" s="426"/>
      <c r="I57" s="427">
        <f t="shared" si="21"/>
        <v>0</v>
      </c>
      <c r="J57" s="426"/>
      <c r="K57" s="426"/>
      <c r="L57" s="427">
        <f t="shared" si="22"/>
        <v>0</v>
      </c>
      <c r="M57" s="426"/>
      <c r="N57" s="426"/>
      <c r="O57" s="427">
        <f t="shared" si="23"/>
        <v>0</v>
      </c>
      <c r="P57" s="426"/>
      <c r="Q57" s="428"/>
      <c r="R57" s="429">
        <f t="shared" si="24"/>
        <v>0</v>
      </c>
      <c r="S57" s="465"/>
    </row>
    <row r="58" spans="1:19" s="466" customFormat="1" x14ac:dyDescent="0.25">
      <c r="A58" s="722"/>
      <c r="B58" s="725"/>
      <c r="C58" s="421" t="s">
        <v>27</v>
      </c>
      <c r="D58" s="422">
        <f t="shared" si="25"/>
        <v>0</v>
      </c>
      <c r="E58" s="423">
        <f t="shared" si="26"/>
        <v>0</v>
      </c>
      <c r="F58" s="424">
        <f t="shared" si="27"/>
        <v>0</v>
      </c>
      <c r="G58" s="425"/>
      <c r="H58" s="426"/>
      <c r="I58" s="427">
        <f t="shared" si="21"/>
        <v>0</v>
      </c>
      <c r="J58" s="426"/>
      <c r="K58" s="426"/>
      <c r="L58" s="427">
        <f t="shared" si="22"/>
        <v>0</v>
      </c>
      <c r="M58" s="426"/>
      <c r="N58" s="426"/>
      <c r="O58" s="427">
        <f t="shared" si="23"/>
        <v>0</v>
      </c>
      <c r="P58" s="426"/>
      <c r="Q58" s="428"/>
      <c r="R58" s="429">
        <f t="shared" si="24"/>
        <v>0</v>
      </c>
      <c r="S58" s="465"/>
    </row>
    <row r="59" spans="1:19" s="466" customFormat="1" x14ac:dyDescent="0.25">
      <c r="A59" s="722"/>
      <c r="B59" s="725"/>
      <c r="C59" s="421" t="s">
        <v>28</v>
      </c>
      <c r="D59" s="422">
        <f t="shared" si="25"/>
        <v>0</v>
      </c>
      <c r="E59" s="423">
        <f t="shared" si="26"/>
        <v>0</v>
      </c>
      <c r="F59" s="424">
        <f t="shared" si="27"/>
        <v>0</v>
      </c>
      <c r="G59" s="425"/>
      <c r="H59" s="426"/>
      <c r="I59" s="427">
        <f t="shared" si="21"/>
        <v>0</v>
      </c>
      <c r="J59" s="426"/>
      <c r="K59" s="426"/>
      <c r="L59" s="427">
        <f t="shared" si="22"/>
        <v>0</v>
      </c>
      <c r="M59" s="426"/>
      <c r="N59" s="426"/>
      <c r="O59" s="427">
        <f t="shared" si="23"/>
        <v>0</v>
      </c>
      <c r="P59" s="426"/>
      <c r="Q59" s="428"/>
      <c r="R59" s="429">
        <f t="shared" si="24"/>
        <v>0</v>
      </c>
      <c r="S59" s="465"/>
    </row>
    <row r="60" spans="1:19" s="466" customFormat="1" x14ac:dyDescent="0.25">
      <c r="A60" s="722"/>
      <c r="B60" s="725"/>
      <c r="C60" s="421" t="s">
        <v>29</v>
      </c>
      <c r="D60" s="422">
        <f t="shared" si="25"/>
        <v>0</v>
      </c>
      <c r="E60" s="423">
        <f t="shared" si="26"/>
        <v>0</v>
      </c>
      <c r="F60" s="424">
        <f t="shared" si="27"/>
        <v>0</v>
      </c>
      <c r="G60" s="425"/>
      <c r="H60" s="426"/>
      <c r="I60" s="427">
        <f t="shared" si="21"/>
        <v>0</v>
      </c>
      <c r="J60" s="426"/>
      <c r="K60" s="426"/>
      <c r="L60" s="427">
        <f t="shared" si="22"/>
        <v>0</v>
      </c>
      <c r="M60" s="426"/>
      <c r="N60" s="426"/>
      <c r="O60" s="427">
        <f t="shared" si="23"/>
        <v>0</v>
      </c>
      <c r="P60" s="426"/>
      <c r="Q60" s="428"/>
      <c r="R60" s="429">
        <f t="shared" si="24"/>
        <v>0</v>
      </c>
      <c r="S60" s="465"/>
    </row>
    <row r="61" spans="1:19" s="466" customFormat="1" x14ac:dyDescent="0.25">
      <c r="A61" s="722"/>
      <c r="B61" s="725"/>
      <c r="C61" s="421" t="s">
        <v>30</v>
      </c>
      <c r="D61" s="422">
        <f t="shared" si="25"/>
        <v>0</v>
      </c>
      <c r="E61" s="423">
        <f t="shared" si="26"/>
        <v>0</v>
      </c>
      <c r="F61" s="424">
        <f t="shared" si="27"/>
        <v>0</v>
      </c>
      <c r="G61" s="425"/>
      <c r="H61" s="426"/>
      <c r="I61" s="427">
        <f t="shared" si="21"/>
        <v>0</v>
      </c>
      <c r="J61" s="426"/>
      <c r="K61" s="426"/>
      <c r="L61" s="427">
        <f t="shared" si="22"/>
        <v>0</v>
      </c>
      <c r="M61" s="426"/>
      <c r="N61" s="426"/>
      <c r="O61" s="427">
        <f t="shared" si="23"/>
        <v>0</v>
      </c>
      <c r="P61" s="426"/>
      <c r="Q61" s="428"/>
      <c r="R61" s="429">
        <f t="shared" si="24"/>
        <v>0</v>
      </c>
      <c r="S61" s="465"/>
    </row>
    <row r="62" spans="1:19" s="466" customFormat="1" x14ac:dyDescent="0.25">
      <c r="A62" s="722"/>
      <c r="B62" s="725"/>
      <c r="C62" s="421" t="s">
        <v>31</v>
      </c>
      <c r="D62" s="422">
        <f t="shared" si="25"/>
        <v>0</v>
      </c>
      <c r="E62" s="423">
        <f t="shared" si="26"/>
        <v>0</v>
      </c>
      <c r="F62" s="424">
        <f t="shared" si="27"/>
        <v>0</v>
      </c>
      <c r="G62" s="425"/>
      <c r="H62" s="426"/>
      <c r="I62" s="427">
        <f t="shared" si="21"/>
        <v>0</v>
      </c>
      <c r="J62" s="426"/>
      <c r="K62" s="426"/>
      <c r="L62" s="427">
        <f t="shared" si="22"/>
        <v>0</v>
      </c>
      <c r="M62" s="426"/>
      <c r="N62" s="426"/>
      <c r="O62" s="427">
        <f t="shared" si="23"/>
        <v>0</v>
      </c>
      <c r="P62" s="426"/>
      <c r="Q62" s="428"/>
      <c r="R62" s="429">
        <f t="shared" si="24"/>
        <v>0</v>
      </c>
      <c r="S62" s="465"/>
    </row>
    <row r="63" spans="1:19" s="466" customFormat="1" x14ac:dyDescent="0.25">
      <c r="A63" s="722"/>
      <c r="B63" s="725"/>
      <c r="C63" s="421" t="s">
        <v>32</v>
      </c>
      <c r="D63" s="422">
        <f t="shared" si="25"/>
        <v>0</v>
      </c>
      <c r="E63" s="423">
        <f t="shared" si="26"/>
        <v>0</v>
      </c>
      <c r="F63" s="424">
        <f t="shared" si="27"/>
        <v>0</v>
      </c>
      <c r="G63" s="425"/>
      <c r="H63" s="426"/>
      <c r="I63" s="427">
        <f t="shared" si="21"/>
        <v>0</v>
      </c>
      <c r="J63" s="426"/>
      <c r="K63" s="426"/>
      <c r="L63" s="427">
        <f t="shared" si="22"/>
        <v>0</v>
      </c>
      <c r="M63" s="426"/>
      <c r="N63" s="426"/>
      <c r="O63" s="427">
        <f t="shared" si="23"/>
        <v>0</v>
      </c>
      <c r="P63" s="426"/>
      <c r="Q63" s="428"/>
      <c r="R63" s="429">
        <f t="shared" si="24"/>
        <v>0</v>
      </c>
      <c r="S63" s="465"/>
    </row>
    <row r="64" spans="1:19" s="466" customFormat="1" x14ac:dyDescent="0.25">
      <c r="A64" s="722"/>
      <c r="B64" s="725"/>
      <c r="C64" s="421" t="s">
        <v>33</v>
      </c>
      <c r="D64" s="422">
        <f t="shared" si="25"/>
        <v>0</v>
      </c>
      <c r="E64" s="423">
        <f t="shared" si="26"/>
        <v>0</v>
      </c>
      <c r="F64" s="424">
        <f t="shared" si="27"/>
        <v>0</v>
      </c>
      <c r="G64" s="425"/>
      <c r="H64" s="426"/>
      <c r="I64" s="427">
        <f t="shared" si="21"/>
        <v>0</v>
      </c>
      <c r="J64" s="426"/>
      <c r="K64" s="426"/>
      <c r="L64" s="427">
        <f t="shared" si="22"/>
        <v>0</v>
      </c>
      <c r="M64" s="426"/>
      <c r="N64" s="426"/>
      <c r="O64" s="427">
        <f t="shared" si="23"/>
        <v>0</v>
      </c>
      <c r="P64" s="426"/>
      <c r="Q64" s="428"/>
      <c r="R64" s="429">
        <f t="shared" si="24"/>
        <v>0</v>
      </c>
      <c r="S64" s="465"/>
    </row>
    <row r="65" spans="1:19" s="468" customFormat="1" ht="15.75" thickBot="1" x14ac:dyDescent="0.3">
      <c r="A65" s="723"/>
      <c r="B65" s="726"/>
      <c r="C65" s="430" t="s">
        <v>34</v>
      </c>
      <c r="D65" s="431">
        <f t="shared" si="25"/>
        <v>0</v>
      </c>
      <c r="E65" s="432">
        <f t="shared" si="26"/>
        <v>0</v>
      </c>
      <c r="F65" s="433">
        <f t="shared" si="27"/>
        <v>0</v>
      </c>
      <c r="G65" s="434"/>
      <c r="H65" s="435"/>
      <c r="I65" s="436">
        <f t="shared" si="21"/>
        <v>0</v>
      </c>
      <c r="J65" s="435"/>
      <c r="K65" s="435"/>
      <c r="L65" s="436">
        <f t="shared" si="22"/>
        <v>0</v>
      </c>
      <c r="M65" s="435"/>
      <c r="N65" s="435"/>
      <c r="O65" s="436">
        <f t="shared" si="23"/>
        <v>0</v>
      </c>
      <c r="P65" s="435"/>
      <c r="Q65" s="437"/>
      <c r="R65" s="438">
        <f t="shared" si="24"/>
        <v>0</v>
      </c>
      <c r="S65" s="467"/>
    </row>
    <row r="66" spans="1:19" s="466" customFormat="1" ht="15.75" thickBot="1" x14ac:dyDescent="0.3">
      <c r="A66" s="469"/>
      <c r="B66" s="470"/>
      <c r="C66" s="471"/>
      <c r="D66" s="470"/>
      <c r="E66" s="470"/>
      <c r="F66" s="472" t="s">
        <v>109</v>
      </c>
      <c r="G66" s="473"/>
      <c r="H66" s="473"/>
      <c r="I66" s="474"/>
      <c r="J66" s="473"/>
      <c r="K66" s="473"/>
      <c r="L66" s="474"/>
      <c r="M66" s="473"/>
      <c r="N66" s="473"/>
      <c r="O66" s="474"/>
      <c r="P66" s="473"/>
      <c r="Q66" s="475"/>
      <c r="R66" s="476"/>
      <c r="S66" s="465"/>
    </row>
    <row r="67" spans="1:19" s="466" customFormat="1" x14ac:dyDescent="0.25">
      <c r="A67" s="739" t="s">
        <v>340</v>
      </c>
      <c r="B67" s="741" t="s">
        <v>37</v>
      </c>
      <c r="C67" s="477" t="s">
        <v>25</v>
      </c>
      <c r="D67" s="478">
        <f>G67+J67+M67+P67</f>
        <v>2201000</v>
      </c>
      <c r="E67" s="479">
        <f t="shared" ref="E67:F76" si="28">H67+K67+N67+Q67</f>
        <v>2201000</v>
      </c>
      <c r="F67" s="480">
        <f t="shared" si="28"/>
        <v>0</v>
      </c>
      <c r="G67" s="481">
        <f t="shared" ref="G67:G76" si="29">G6</f>
        <v>2000000</v>
      </c>
      <c r="H67" s="482">
        <f t="shared" ref="H67:H76" si="30">H6*(1+$S$67)</f>
        <v>2000000</v>
      </c>
      <c r="I67" s="483">
        <f>H67-G67</f>
        <v>0</v>
      </c>
      <c r="J67" s="482">
        <f t="shared" ref="J67:J76" si="31">J6</f>
        <v>200000</v>
      </c>
      <c r="K67" s="482">
        <f t="shared" ref="K67:K76" si="32">K6*(1+$S$67)</f>
        <v>200000</v>
      </c>
      <c r="L67" s="483">
        <f t="shared" ref="L67:L76" si="33">K67-J67</f>
        <v>0</v>
      </c>
      <c r="M67" s="482">
        <f t="shared" ref="M67:M76" si="34">M6</f>
        <v>0</v>
      </c>
      <c r="N67" s="482">
        <f t="shared" ref="N67:N76" si="35">N6*(1+$S$67)</f>
        <v>0</v>
      </c>
      <c r="O67" s="483">
        <f t="shared" ref="O67:O76" si="36">N67-M67</f>
        <v>0</v>
      </c>
      <c r="P67" s="482">
        <f t="shared" ref="P67:P76" si="37">P6</f>
        <v>1000</v>
      </c>
      <c r="Q67" s="484">
        <f t="shared" ref="Q67:Q76" si="38">Q6*(1+$S$67)</f>
        <v>1000</v>
      </c>
      <c r="R67" s="485">
        <f t="shared" ref="R67:R76" si="39">Q67-P67</f>
        <v>0</v>
      </c>
      <c r="S67" s="486">
        <f>'Analyza citlivosti - AgendovéIS'!K7</f>
        <v>0</v>
      </c>
    </row>
    <row r="68" spans="1:19" s="466" customFormat="1" x14ac:dyDescent="0.25">
      <c r="A68" s="739"/>
      <c r="B68" s="741"/>
      <c r="C68" s="477" t="s">
        <v>26</v>
      </c>
      <c r="D68" s="478">
        <f t="shared" ref="D68:D76" si="40">G68+J68+M68+P68</f>
        <v>2751200</v>
      </c>
      <c r="E68" s="479">
        <f t="shared" si="28"/>
        <v>3081200</v>
      </c>
      <c r="F68" s="480">
        <f t="shared" si="28"/>
        <v>330000</v>
      </c>
      <c r="G68" s="487">
        <f t="shared" si="29"/>
        <v>2500000</v>
      </c>
      <c r="H68" s="488">
        <f t="shared" si="30"/>
        <v>2800000</v>
      </c>
      <c r="I68" s="427">
        <f t="shared" ref="I68:I76" si="41">H68-G68</f>
        <v>300000</v>
      </c>
      <c r="J68" s="488">
        <f t="shared" si="31"/>
        <v>250000</v>
      </c>
      <c r="K68" s="488">
        <f t="shared" si="32"/>
        <v>280000</v>
      </c>
      <c r="L68" s="427">
        <f t="shared" si="33"/>
        <v>30000</v>
      </c>
      <c r="M68" s="488">
        <f t="shared" si="34"/>
        <v>0</v>
      </c>
      <c r="N68" s="488">
        <f t="shared" si="35"/>
        <v>0</v>
      </c>
      <c r="O68" s="427">
        <f t="shared" si="36"/>
        <v>0</v>
      </c>
      <c r="P68" s="488">
        <f t="shared" si="37"/>
        <v>1200</v>
      </c>
      <c r="Q68" s="489">
        <f t="shared" si="38"/>
        <v>1200</v>
      </c>
      <c r="R68" s="429">
        <f t="shared" si="39"/>
        <v>0</v>
      </c>
      <c r="S68" s="465"/>
    </row>
    <row r="69" spans="1:19" s="466" customFormat="1" x14ac:dyDescent="0.25">
      <c r="A69" s="739"/>
      <c r="B69" s="741"/>
      <c r="C69" s="477" t="s">
        <v>27</v>
      </c>
      <c r="D69" s="478">
        <f t="shared" si="40"/>
        <v>3301200</v>
      </c>
      <c r="E69" s="479">
        <f t="shared" si="28"/>
        <v>4256200</v>
      </c>
      <c r="F69" s="480">
        <f t="shared" si="28"/>
        <v>955000</v>
      </c>
      <c r="G69" s="487">
        <f t="shared" si="29"/>
        <v>3000000</v>
      </c>
      <c r="H69" s="488">
        <f t="shared" si="30"/>
        <v>3700000</v>
      </c>
      <c r="I69" s="427">
        <f t="shared" si="41"/>
        <v>700000</v>
      </c>
      <c r="J69" s="488">
        <f t="shared" si="31"/>
        <v>300000</v>
      </c>
      <c r="K69" s="488">
        <f t="shared" si="32"/>
        <v>370000</v>
      </c>
      <c r="L69" s="427">
        <f t="shared" si="33"/>
        <v>70000</v>
      </c>
      <c r="M69" s="488">
        <f t="shared" si="34"/>
        <v>0</v>
      </c>
      <c r="N69" s="488">
        <f t="shared" si="35"/>
        <v>185000</v>
      </c>
      <c r="O69" s="427">
        <f t="shared" si="36"/>
        <v>185000</v>
      </c>
      <c r="P69" s="488">
        <f t="shared" si="37"/>
        <v>1200</v>
      </c>
      <c r="Q69" s="489">
        <f t="shared" si="38"/>
        <v>1200</v>
      </c>
      <c r="R69" s="429">
        <f t="shared" si="39"/>
        <v>0</v>
      </c>
      <c r="S69" s="465"/>
    </row>
    <row r="70" spans="1:19" s="466" customFormat="1" x14ac:dyDescent="0.25">
      <c r="A70" s="739"/>
      <c r="B70" s="741"/>
      <c r="C70" s="477" t="s">
        <v>28</v>
      </c>
      <c r="D70" s="478">
        <f t="shared" si="40"/>
        <v>3850900</v>
      </c>
      <c r="E70" s="479">
        <f t="shared" si="28"/>
        <v>5568900</v>
      </c>
      <c r="F70" s="480">
        <f t="shared" si="28"/>
        <v>1718000</v>
      </c>
      <c r="G70" s="487">
        <f t="shared" si="29"/>
        <v>3500000</v>
      </c>
      <c r="H70" s="488">
        <f t="shared" si="30"/>
        <v>4800000</v>
      </c>
      <c r="I70" s="427">
        <f t="shared" si="41"/>
        <v>1300000</v>
      </c>
      <c r="J70" s="488">
        <f t="shared" si="31"/>
        <v>350000</v>
      </c>
      <c r="K70" s="488">
        <f t="shared" si="32"/>
        <v>480000</v>
      </c>
      <c r="L70" s="427">
        <f t="shared" si="33"/>
        <v>130000</v>
      </c>
      <c r="M70" s="488">
        <f t="shared" si="34"/>
        <v>0</v>
      </c>
      <c r="N70" s="488">
        <f t="shared" si="35"/>
        <v>288000</v>
      </c>
      <c r="O70" s="427">
        <f t="shared" si="36"/>
        <v>288000</v>
      </c>
      <c r="P70" s="488">
        <f t="shared" si="37"/>
        <v>900</v>
      </c>
      <c r="Q70" s="489">
        <f t="shared" si="38"/>
        <v>900</v>
      </c>
      <c r="R70" s="429">
        <f t="shared" si="39"/>
        <v>0</v>
      </c>
      <c r="S70" s="465"/>
    </row>
    <row r="71" spans="1:19" s="466" customFormat="1" x14ac:dyDescent="0.25">
      <c r="A71" s="739"/>
      <c r="B71" s="741"/>
      <c r="C71" s="477" t="s">
        <v>29</v>
      </c>
      <c r="D71" s="478">
        <f t="shared" si="40"/>
        <v>4400600</v>
      </c>
      <c r="E71" s="479">
        <f t="shared" si="28"/>
        <v>6962100</v>
      </c>
      <c r="F71" s="480">
        <f t="shared" si="28"/>
        <v>2561500</v>
      </c>
      <c r="G71" s="487">
        <f t="shared" si="29"/>
        <v>4000000</v>
      </c>
      <c r="H71" s="488">
        <f t="shared" si="30"/>
        <v>5950000</v>
      </c>
      <c r="I71" s="427">
        <f t="shared" si="41"/>
        <v>1950000</v>
      </c>
      <c r="J71" s="488">
        <f t="shared" si="31"/>
        <v>400000</v>
      </c>
      <c r="K71" s="488">
        <f t="shared" si="32"/>
        <v>595000</v>
      </c>
      <c r="L71" s="427">
        <f t="shared" si="33"/>
        <v>195000</v>
      </c>
      <c r="M71" s="488">
        <f t="shared" si="34"/>
        <v>0</v>
      </c>
      <c r="N71" s="488">
        <f t="shared" si="35"/>
        <v>416500.00000000006</v>
      </c>
      <c r="O71" s="427">
        <f t="shared" si="36"/>
        <v>416500.00000000006</v>
      </c>
      <c r="P71" s="488">
        <f t="shared" si="37"/>
        <v>600</v>
      </c>
      <c r="Q71" s="489">
        <f t="shared" si="38"/>
        <v>600</v>
      </c>
      <c r="R71" s="429">
        <f t="shared" si="39"/>
        <v>0</v>
      </c>
      <c r="S71" s="465"/>
    </row>
    <row r="72" spans="1:19" s="466" customFormat="1" x14ac:dyDescent="0.25">
      <c r="A72" s="739"/>
      <c r="B72" s="741"/>
      <c r="C72" s="477" t="s">
        <v>30</v>
      </c>
      <c r="D72" s="478">
        <f t="shared" si="40"/>
        <v>4950500</v>
      </c>
      <c r="E72" s="479">
        <f t="shared" si="28"/>
        <v>8496500</v>
      </c>
      <c r="F72" s="480">
        <f t="shared" si="28"/>
        <v>3546000</v>
      </c>
      <c r="G72" s="487">
        <f t="shared" si="29"/>
        <v>4500000</v>
      </c>
      <c r="H72" s="488">
        <f t="shared" si="30"/>
        <v>7200000</v>
      </c>
      <c r="I72" s="427">
        <f t="shared" si="41"/>
        <v>2700000</v>
      </c>
      <c r="J72" s="488">
        <f t="shared" si="31"/>
        <v>450000</v>
      </c>
      <c r="K72" s="488">
        <f t="shared" si="32"/>
        <v>720000</v>
      </c>
      <c r="L72" s="427">
        <f t="shared" si="33"/>
        <v>270000</v>
      </c>
      <c r="M72" s="488">
        <f t="shared" si="34"/>
        <v>0</v>
      </c>
      <c r="N72" s="488">
        <f t="shared" si="35"/>
        <v>576000</v>
      </c>
      <c r="O72" s="427">
        <f t="shared" si="36"/>
        <v>576000</v>
      </c>
      <c r="P72" s="488">
        <f t="shared" si="37"/>
        <v>500</v>
      </c>
      <c r="Q72" s="489">
        <f t="shared" si="38"/>
        <v>500</v>
      </c>
      <c r="R72" s="429">
        <f t="shared" si="39"/>
        <v>0</v>
      </c>
      <c r="S72" s="465"/>
    </row>
    <row r="73" spans="1:19" s="466" customFormat="1" x14ac:dyDescent="0.25">
      <c r="A73" s="739"/>
      <c r="B73" s="741"/>
      <c r="C73" s="477" t="s">
        <v>31</v>
      </c>
      <c r="D73" s="478">
        <f t="shared" si="40"/>
        <v>5500400</v>
      </c>
      <c r="E73" s="479">
        <f t="shared" si="28"/>
        <v>10055900</v>
      </c>
      <c r="F73" s="480">
        <f t="shared" si="28"/>
        <v>4555500</v>
      </c>
      <c r="G73" s="487">
        <f t="shared" si="29"/>
        <v>5000000</v>
      </c>
      <c r="H73" s="488">
        <f t="shared" si="30"/>
        <v>8450000</v>
      </c>
      <c r="I73" s="427">
        <f t="shared" si="41"/>
        <v>3450000</v>
      </c>
      <c r="J73" s="488">
        <f t="shared" si="31"/>
        <v>500000</v>
      </c>
      <c r="K73" s="488">
        <f t="shared" si="32"/>
        <v>845000</v>
      </c>
      <c r="L73" s="427">
        <f t="shared" si="33"/>
        <v>345000</v>
      </c>
      <c r="M73" s="488">
        <f t="shared" si="34"/>
        <v>0</v>
      </c>
      <c r="N73" s="488">
        <f t="shared" si="35"/>
        <v>760500</v>
      </c>
      <c r="O73" s="427">
        <f t="shared" si="36"/>
        <v>760500</v>
      </c>
      <c r="P73" s="488">
        <f t="shared" si="37"/>
        <v>400</v>
      </c>
      <c r="Q73" s="489">
        <f t="shared" si="38"/>
        <v>400</v>
      </c>
      <c r="R73" s="429">
        <f t="shared" si="39"/>
        <v>0</v>
      </c>
      <c r="S73" s="465"/>
    </row>
    <row r="74" spans="1:19" s="466" customFormat="1" x14ac:dyDescent="0.25">
      <c r="A74" s="739"/>
      <c r="B74" s="741"/>
      <c r="C74" s="477" t="s">
        <v>32</v>
      </c>
      <c r="D74" s="478">
        <f t="shared" si="40"/>
        <v>5830400</v>
      </c>
      <c r="E74" s="479">
        <f t="shared" si="28"/>
        <v>11520400</v>
      </c>
      <c r="F74" s="480">
        <f t="shared" si="28"/>
        <v>5690000</v>
      </c>
      <c r="G74" s="487">
        <f t="shared" si="29"/>
        <v>5300000</v>
      </c>
      <c r="H74" s="488">
        <f t="shared" si="30"/>
        <v>9600000</v>
      </c>
      <c r="I74" s="427">
        <f t="shared" si="41"/>
        <v>4300000</v>
      </c>
      <c r="J74" s="488">
        <f t="shared" si="31"/>
        <v>530000</v>
      </c>
      <c r="K74" s="488">
        <f t="shared" si="32"/>
        <v>960000</v>
      </c>
      <c r="L74" s="427">
        <f t="shared" si="33"/>
        <v>430000</v>
      </c>
      <c r="M74" s="488">
        <f t="shared" si="34"/>
        <v>0</v>
      </c>
      <c r="N74" s="488">
        <f t="shared" si="35"/>
        <v>960000</v>
      </c>
      <c r="O74" s="427">
        <f t="shared" si="36"/>
        <v>960000</v>
      </c>
      <c r="P74" s="488">
        <f t="shared" si="37"/>
        <v>400</v>
      </c>
      <c r="Q74" s="489">
        <f t="shared" si="38"/>
        <v>400</v>
      </c>
      <c r="R74" s="429">
        <f t="shared" si="39"/>
        <v>0</v>
      </c>
      <c r="S74" s="465"/>
    </row>
    <row r="75" spans="1:19" s="466" customFormat="1" x14ac:dyDescent="0.25">
      <c r="A75" s="739"/>
      <c r="B75" s="741"/>
      <c r="C75" s="477" t="s">
        <v>33</v>
      </c>
      <c r="D75" s="478">
        <f t="shared" si="40"/>
        <v>6160400</v>
      </c>
      <c r="E75" s="479">
        <f t="shared" si="28"/>
        <v>13375400</v>
      </c>
      <c r="F75" s="480">
        <f t="shared" si="28"/>
        <v>7215000</v>
      </c>
      <c r="G75" s="487">
        <f t="shared" si="29"/>
        <v>5600000</v>
      </c>
      <c r="H75" s="488">
        <f t="shared" si="30"/>
        <v>10700000</v>
      </c>
      <c r="I75" s="427">
        <f t="shared" si="41"/>
        <v>5100000</v>
      </c>
      <c r="J75" s="488">
        <f t="shared" si="31"/>
        <v>560000</v>
      </c>
      <c r="K75" s="488">
        <f t="shared" si="32"/>
        <v>1070000</v>
      </c>
      <c r="L75" s="427">
        <f t="shared" si="33"/>
        <v>510000</v>
      </c>
      <c r="M75" s="488">
        <f t="shared" si="34"/>
        <v>0</v>
      </c>
      <c r="N75" s="488">
        <f t="shared" si="35"/>
        <v>1605000</v>
      </c>
      <c r="O75" s="427">
        <f t="shared" si="36"/>
        <v>1605000</v>
      </c>
      <c r="P75" s="488">
        <f t="shared" si="37"/>
        <v>400</v>
      </c>
      <c r="Q75" s="489">
        <f t="shared" si="38"/>
        <v>400</v>
      </c>
      <c r="R75" s="429">
        <f t="shared" si="39"/>
        <v>0</v>
      </c>
      <c r="S75" s="465"/>
    </row>
    <row r="76" spans="1:19" s="466" customFormat="1" ht="15.75" thickBot="1" x14ac:dyDescent="0.3">
      <c r="A76" s="740"/>
      <c r="B76" s="742"/>
      <c r="C76" s="490" t="s">
        <v>34</v>
      </c>
      <c r="D76" s="491">
        <f t="shared" si="40"/>
        <v>6380400</v>
      </c>
      <c r="E76" s="492">
        <f t="shared" si="28"/>
        <v>12610400</v>
      </c>
      <c r="F76" s="493">
        <f t="shared" si="28"/>
        <v>6230000</v>
      </c>
      <c r="G76" s="494">
        <f t="shared" si="29"/>
        <v>5800000</v>
      </c>
      <c r="H76" s="495">
        <f t="shared" si="30"/>
        <v>9700000</v>
      </c>
      <c r="I76" s="436">
        <f t="shared" si="41"/>
        <v>3900000</v>
      </c>
      <c r="J76" s="495">
        <f t="shared" si="31"/>
        <v>580000</v>
      </c>
      <c r="K76" s="495">
        <f t="shared" si="32"/>
        <v>970000</v>
      </c>
      <c r="L76" s="436">
        <f t="shared" si="33"/>
        <v>390000</v>
      </c>
      <c r="M76" s="495">
        <f t="shared" si="34"/>
        <v>0</v>
      </c>
      <c r="N76" s="495">
        <f t="shared" si="35"/>
        <v>1940000</v>
      </c>
      <c r="O76" s="436">
        <f t="shared" si="36"/>
        <v>1940000</v>
      </c>
      <c r="P76" s="495">
        <f t="shared" si="37"/>
        <v>400</v>
      </c>
      <c r="Q76" s="496">
        <f t="shared" si="38"/>
        <v>400</v>
      </c>
      <c r="R76" s="438">
        <f t="shared" si="39"/>
        <v>0</v>
      </c>
      <c r="S76" s="465"/>
    </row>
    <row r="77" spans="1:19" x14ac:dyDescent="0.25">
      <c r="A77" s="739" t="s">
        <v>202</v>
      </c>
      <c r="B77" s="741" t="s">
        <v>13</v>
      </c>
      <c r="C77" s="477" t="s">
        <v>25</v>
      </c>
      <c r="D77" s="478">
        <f>G77+J77+M77+P77</f>
        <v>56897.961685823757</v>
      </c>
      <c r="E77" s="479">
        <f>H77+K77+N77+Q77</f>
        <v>56897.961685823757</v>
      </c>
      <c r="F77" s="480">
        <f>I77+L77+O77+R77</f>
        <v>0</v>
      </c>
      <c r="G77" s="497">
        <f>G6*G36*Faktory!$D$8</f>
        <v>0</v>
      </c>
      <c r="H77" s="498">
        <f>((H67*G36)-(H67*((G36-H36)*(1+$S$36))))*Faktory!$D$8</f>
        <v>0</v>
      </c>
      <c r="I77" s="416">
        <f>H77-G77</f>
        <v>0</v>
      </c>
      <c r="J77" s="498">
        <f>J6*J36*Faktory!$D$8</f>
        <v>0</v>
      </c>
      <c r="K77" s="498">
        <f>((K67*J36)-(K67*((J36-K36)*(1+$S$36))))*Faktory!$D$8</f>
        <v>0</v>
      </c>
      <c r="L77" s="416">
        <f>K77-J77</f>
        <v>0</v>
      </c>
      <c r="M77" s="498">
        <f>M6*M36*Faktory!$D$8</f>
        <v>0</v>
      </c>
      <c r="N77" s="498">
        <f>((N67*M36)-(N67*((M36-N36)*(1+$S$36))))*Faktory!$D$8</f>
        <v>0</v>
      </c>
      <c r="O77" s="416">
        <f>N77-M77</f>
        <v>0</v>
      </c>
      <c r="P77" s="498">
        <f>P6*P36*Faktory!$D$8</f>
        <v>56897.961685823757</v>
      </c>
      <c r="Q77" s="499">
        <f>((Q67*P36)-(Q67*((P36-Q36)*(1+$S$36))))*Faktory!$D$8</f>
        <v>56897.961685823757</v>
      </c>
      <c r="R77" s="500">
        <f>Q77-P77</f>
        <v>0</v>
      </c>
    </row>
    <row r="78" spans="1:19" x14ac:dyDescent="0.25">
      <c r="A78" s="739"/>
      <c r="B78" s="741"/>
      <c r="C78" s="477" t="s">
        <v>26</v>
      </c>
      <c r="D78" s="478">
        <f t="shared" ref="D78:D96" si="42">G78+J78+M78+P78</f>
        <v>68277.554022988508</v>
      </c>
      <c r="E78" s="479">
        <f t="shared" ref="E78:E96" si="43">H78+K78+N78+Q78</f>
        <v>68277.554022988508</v>
      </c>
      <c r="F78" s="480">
        <f t="shared" ref="F78:F96" si="44">I78+L78+O78+R78</f>
        <v>0</v>
      </c>
      <c r="G78" s="487">
        <f>G7*G37*Faktory!$D$8</f>
        <v>0</v>
      </c>
      <c r="H78" s="488">
        <f>((H68*G37)-(H68*((G37-H37)*(1+$S$36))))*Faktory!$D$8</f>
        <v>0</v>
      </c>
      <c r="I78" s="427">
        <f t="shared" ref="I78:I96" si="45">H78-G78</f>
        <v>0</v>
      </c>
      <c r="J78" s="488">
        <f>J7*J37*Faktory!$D$8</f>
        <v>0</v>
      </c>
      <c r="K78" s="488">
        <f>((K68*J37)-(K68*((J37-K37)*(1+$S$36))))*Faktory!$D$8</f>
        <v>0</v>
      </c>
      <c r="L78" s="427">
        <f t="shared" ref="L78:L96" si="46">K78-J78</f>
        <v>0</v>
      </c>
      <c r="M78" s="488">
        <f>M7*M37*Faktory!$D$8</f>
        <v>0</v>
      </c>
      <c r="N78" s="488">
        <f>((N68*M37)-(N68*((M37-N37)*(1+$S$36))))*Faktory!$D$8</f>
        <v>0</v>
      </c>
      <c r="O78" s="427">
        <f t="shared" ref="O78:O96" si="47">N78-M78</f>
        <v>0</v>
      </c>
      <c r="P78" s="488">
        <f>P7*P37*Faktory!$D$8</f>
        <v>68277.554022988508</v>
      </c>
      <c r="Q78" s="489">
        <f>((Q68*P37)-(Q68*((P37-Q37)*(1+$S$36))))*Faktory!$D$8</f>
        <v>68277.554022988508</v>
      </c>
      <c r="R78" s="429">
        <f t="shared" ref="R78:R96" si="48">Q78-P78</f>
        <v>0</v>
      </c>
    </row>
    <row r="79" spans="1:19" x14ac:dyDescent="0.25">
      <c r="A79" s="739"/>
      <c r="B79" s="741"/>
      <c r="C79" s="477" t="s">
        <v>27</v>
      </c>
      <c r="D79" s="478">
        <f t="shared" si="42"/>
        <v>68277.554022988508</v>
      </c>
      <c r="E79" s="479">
        <f t="shared" si="43"/>
        <v>27311.021609195406</v>
      </c>
      <c r="F79" s="480">
        <f t="shared" si="44"/>
        <v>-40966.532413793102</v>
      </c>
      <c r="G79" s="487">
        <f>G8*G38*Faktory!$D$8</f>
        <v>0</v>
      </c>
      <c r="H79" s="488">
        <f>((H69*G38)-(H69*((G38-H38)*(1+$S$36))))*Faktory!$D$8</f>
        <v>0</v>
      </c>
      <c r="I79" s="427">
        <f t="shared" si="45"/>
        <v>0</v>
      </c>
      <c r="J79" s="488">
        <f>J8*J38*Faktory!$D$8</f>
        <v>0</v>
      </c>
      <c r="K79" s="488">
        <f>((K69*J38)-(K69*((J38-K38)*(1+$S$36))))*Faktory!$D$8</f>
        <v>0</v>
      </c>
      <c r="L79" s="427">
        <f t="shared" si="46"/>
        <v>0</v>
      </c>
      <c r="M79" s="488">
        <f>M8*M38*Faktory!$D$8</f>
        <v>0</v>
      </c>
      <c r="N79" s="488">
        <f>((N69*M38)-(N69*((M38-N38)*(1+$S$36))))*Faktory!$D$8</f>
        <v>0</v>
      </c>
      <c r="O79" s="427">
        <f t="shared" si="47"/>
        <v>0</v>
      </c>
      <c r="P79" s="488">
        <f>P8*P38*Faktory!$D$8</f>
        <v>68277.554022988508</v>
      </c>
      <c r="Q79" s="489">
        <f>((Q69*P38)-(Q69*((P38-Q38)*(1+$S$36))))*Faktory!$D$8</f>
        <v>27311.021609195406</v>
      </c>
      <c r="R79" s="429">
        <f t="shared" si="48"/>
        <v>-40966.532413793102</v>
      </c>
    </row>
    <row r="80" spans="1:19" x14ac:dyDescent="0.25">
      <c r="A80" s="739"/>
      <c r="B80" s="741"/>
      <c r="C80" s="477" t="s">
        <v>28</v>
      </c>
      <c r="D80" s="478">
        <f t="shared" si="42"/>
        <v>51208.165517241381</v>
      </c>
      <c r="E80" s="479">
        <f t="shared" si="43"/>
        <v>20483.266206896555</v>
      </c>
      <c r="F80" s="480">
        <f t="shared" si="44"/>
        <v>-30724.899310344827</v>
      </c>
      <c r="G80" s="487">
        <f>G9*G39*Faktory!$D$8</f>
        <v>0</v>
      </c>
      <c r="H80" s="488">
        <f>((H70*G39)-(H70*((G39-H39)*(1+$S$36))))*Faktory!$D$8</f>
        <v>0</v>
      </c>
      <c r="I80" s="427">
        <f t="shared" si="45"/>
        <v>0</v>
      </c>
      <c r="J80" s="488">
        <f>J9*J39*Faktory!$D$8</f>
        <v>0</v>
      </c>
      <c r="K80" s="488">
        <f>((K70*J39)-(K70*((J39-K39)*(1+$S$36))))*Faktory!$D$8</f>
        <v>0</v>
      </c>
      <c r="L80" s="427">
        <f t="shared" si="46"/>
        <v>0</v>
      </c>
      <c r="M80" s="488">
        <f>M9*M39*Faktory!$D$8</f>
        <v>0</v>
      </c>
      <c r="N80" s="488">
        <f>((N70*M39)-(N70*((M39-N39)*(1+$S$36))))*Faktory!$D$8</f>
        <v>0</v>
      </c>
      <c r="O80" s="427">
        <f t="shared" si="47"/>
        <v>0</v>
      </c>
      <c r="P80" s="488">
        <f>P9*P39*Faktory!$D$8</f>
        <v>51208.165517241381</v>
      </c>
      <c r="Q80" s="489">
        <f>((Q70*P39)-(Q70*((P39-Q39)*(1+$S$36))))*Faktory!$D$8</f>
        <v>20483.266206896555</v>
      </c>
      <c r="R80" s="429">
        <f t="shared" si="48"/>
        <v>-30724.899310344827</v>
      </c>
    </row>
    <row r="81" spans="1:18" x14ac:dyDescent="0.25">
      <c r="A81" s="739"/>
      <c r="B81" s="741"/>
      <c r="C81" s="477" t="s">
        <v>29</v>
      </c>
      <c r="D81" s="478">
        <f t="shared" si="42"/>
        <v>34138.777011494254</v>
      </c>
      <c r="E81" s="479">
        <f t="shared" si="43"/>
        <v>13655.510804597703</v>
      </c>
      <c r="F81" s="480">
        <f t="shared" si="44"/>
        <v>-20483.266206896551</v>
      </c>
      <c r="G81" s="487">
        <f>G10*G40*Faktory!$D$8</f>
        <v>0</v>
      </c>
      <c r="H81" s="488">
        <f>((H71*G40)-(H71*((G40-H40)*(1+$S$36))))*Faktory!$D$8</f>
        <v>0</v>
      </c>
      <c r="I81" s="427">
        <f t="shared" si="45"/>
        <v>0</v>
      </c>
      <c r="J81" s="488">
        <f>J10*J40*Faktory!$D$8</f>
        <v>0</v>
      </c>
      <c r="K81" s="488">
        <f>((K71*J40)-(K71*((J40-K40)*(1+$S$36))))*Faktory!$D$8</f>
        <v>0</v>
      </c>
      <c r="L81" s="427">
        <f t="shared" si="46"/>
        <v>0</v>
      </c>
      <c r="M81" s="488">
        <f>M10*M40*Faktory!$D$8</f>
        <v>0</v>
      </c>
      <c r="N81" s="488">
        <f>((N71*M40)-(N71*((M40-N40)*(1+$S$36))))*Faktory!$D$8</f>
        <v>0</v>
      </c>
      <c r="O81" s="427">
        <f t="shared" si="47"/>
        <v>0</v>
      </c>
      <c r="P81" s="488">
        <f>P10*P40*Faktory!$D$8</f>
        <v>34138.777011494254</v>
      </c>
      <c r="Q81" s="489">
        <f>((Q71*P40)-(Q71*((P40-Q40)*(1+$S$36))))*Faktory!$D$8</f>
        <v>13655.510804597703</v>
      </c>
      <c r="R81" s="429">
        <f t="shared" si="48"/>
        <v>-20483.266206896551</v>
      </c>
    </row>
    <row r="82" spans="1:18" x14ac:dyDescent="0.25">
      <c r="A82" s="739"/>
      <c r="B82" s="741"/>
      <c r="C82" s="477" t="s">
        <v>30</v>
      </c>
      <c r="D82" s="478">
        <f t="shared" si="42"/>
        <v>28448.980842911878</v>
      </c>
      <c r="E82" s="479">
        <f t="shared" si="43"/>
        <v>11379.592337164751</v>
      </c>
      <c r="F82" s="480">
        <f t="shared" si="44"/>
        <v>-17069.388505747127</v>
      </c>
      <c r="G82" s="487">
        <f>G11*G41*Faktory!$D$8</f>
        <v>0</v>
      </c>
      <c r="H82" s="488">
        <f>((H72*G41)-(H72*((G41-H41)*(1+$S$36))))*Faktory!$D$8</f>
        <v>0</v>
      </c>
      <c r="I82" s="427">
        <f t="shared" si="45"/>
        <v>0</v>
      </c>
      <c r="J82" s="488">
        <f>J11*J41*Faktory!$D$8</f>
        <v>0</v>
      </c>
      <c r="K82" s="488">
        <f>((K72*J41)-(K72*((J41-K41)*(1+$S$36))))*Faktory!$D$8</f>
        <v>0</v>
      </c>
      <c r="L82" s="427">
        <f t="shared" si="46"/>
        <v>0</v>
      </c>
      <c r="M82" s="488">
        <f>M11*M41*Faktory!$D$8</f>
        <v>0</v>
      </c>
      <c r="N82" s="488">
        <f>((N72*M41)-(N72*((M41-N41)*(1+$S$36))))*Faktory!$D$8</f>
        <v>0</v>
      </c>
      <c r="O82" s="427">
        <f t="shared" si="47"/>
        <v>0</v>
      </c>
      <c r="P82" s="488">
        <f>P11*P41*Faktory!$D$8</f>
        <v>28448.980842911878</v>
      </c>
      <c r="Q82" s="489">
        <f>((Q72*P41)-(Q72*((P41-Q41)*(1+$S$36))))*Faktory!$D$8</f>
        <v>11379.592337164751</v>
      </c>
      <c r="R82" s="429">
        <f t="shared" si="48"/>
        <v>-17069.388505747127</v>
      </c>
    </row>
    <row r="83" spans="1:18" x14ac:dyDescent="0.25">
      <c r="A83" s="739"/>
      <c r="B83" s="741"/>
      <c r="C83" s="477" t="s">
        <v>31</v>
      </c>
      <c r="D83" s="478">
        <f t="shared" si="42"/>
        <v>22759.184674329503</v>
      </c>
      <c r="E83" s="479">
        <f t="shared" si="43"/>
        <v>9103.6738697318015</v>
      </c>
      <c r="F83" s="480">
        <f t="shared" si="44"/>
        <v>-13655.510804597701</v>
      </c>
      <c r="G83" s="487">
        <f>G12*G42*Faktory!$D$8</f>
        <v>0</v>
      </c>
      <c r="H83" s="488">
        <f>((H73*G42)-(H73*((G42-H42)*(1+$S$36))))*Faktory!$D$8</f>
        <v>0</v>
      </c>
      <c r="I83" s="427">
        <f t="shared" si="45"/>
        <v>0</v>
      </c>
      <c r="J83" s="488">
        <f>J12*J42*Faktory!$D$8</f>
        <v>0</v>
      </c>
      <c r="K83" s="488">
        <f>((K73*J42)-(K73*((J42-K42)*(1+$S$36))))*Faktory!$D$8</f>
        <v>0</v>
      </c>
      <c r="L83" s="427">
        <f t="shared" si="46"/>
        <v>0</v>
      </c>
      <c r="M83" s="488">
        <f>M12*M42*Faktory!$D$8</f>
        <v>0</v>
      </c>
      <c r="N83" s="488">
        <f>((N73*M42)-(N73*((M42-N42)*(1+$S$36))))*Faktory!$D$8</f>
        <v>0</v>
      </c>
      <c r="O83" s="427">
        <f t="shared" si="47"/>
        <v>0</v>
      </c>
      <c r="P83" s="488">
        <f>P12*P42*Faktory!$D$8</f>
        <v>22759.184674329503</v>
      </c>
      <c r="Q83" s="489">
        <f>((Q73*P42)-(Q73*((P42-Q42)*(1+$S$36))))*Faktory!$D$8</f>
        <v>9103.6738697318015</v>
      </c>
      <c r="R83" s="429">
        <f t="shared" si="48"/>
        <v>-13655.510804597701</v>
      </c>
    </row>
    <row r="84" spans="1:18" x14ac:dyDescent="0.25">
      <c r="A84" s="739"/>
      <c r="B84" s="741"/>
      <c r="C84" s="477" t="s">
        <v>32</v>
      </c>
      <c r="D84" s="478">
        <f t="shared" si="42"/>
        <v>22759.184674329503</v>
      </c>
      <c r="E84" s="479">
        <f t="shared" si="43"/>
        <v>9103.6738697318015</v>
      </c>
      <c r="F84" s="480">
        <f t="shared" si="44"/>
        <v>-13655.510804597701</v>
      </c>
      <c r="G84" s="487">
        <f>G13*G43*Faktory!$D$8</f>
        <v>0</v>
      </c>
      <c r="H84" s="488">
        <f>((H74*G43)-(H74*((G43-H43)*(1+$S$36))))*Faktory!$D$8</f>
        <v>0</v>
      </c>
      <c r="I84" s="427">
        <f t="shared" si="45"/>
        <v>0</v>
      </c>
      <c r="J84" s="488">
        <f>J13*J43*Faktory!$D$8</f>
        <v>0</v>
      </c>
      <c r="K84" s="488">
        <f>((K74*J43)-(K74*((J43-K43)*(1+$S$36))))*Faktory!$D$8</f>
        <v>0</v>
      </c>
      <c r="L84" s="427">
        <f t="shared" si="46"/>
        <v>0</v>
      </c>
      <c r="M84" s="488">
        <f>M13*M43*Faktory!$D$8</f>
        <v>0</v>
      </c>
      <c r="N84" s="488">
        <f>((N74*M43)-(N74*((M43-N43)*(1+$S$36))))*Faktory!$D$8</f>
        <v>0</v>
      </c>
      <c r="O84" s="427">
        <f t="shared" si="47"/>
        <v>0</v>
      </c>
      <c r="P84" s="488">
        <f>P13*P43*Faktory!$D$8</f>
        <v>22759.184674329503</v>
      </c>
      <c r="Q84" s="489">
        <f>((Q74*P43)-(Q74*((P43-Q43)*(1+$S$36))))*Faktory!$D$8</f>
        <v>9103.6738697318015</v>
      </c>
      <c r="R84" s="429">
        <f t="shared" si="48"/>
        <v>-13655.510804597701</v>
      </c>
    </row>
    <row r="85" spans="1:18" x14ac:dyDescent="0.25">
      <c r="A85" s="739"/>
      <c r="B85" s="741"/>
      <c r="C85" s="477" t="s">
        <v>33</v>
      </c>
      <c r="D85" s="478">
        <f t="shared" si="42"/>
        <v>22759.184674329503</v>
      </c>
      <c r="E85" s="479">
        <f t="shared" si="43"/>
        <v>9103.6738697318015</v>
      </c>
      <c r="F85" s="480">
        <f t="shared" si="44"/>
        <v>-13655.510804597701</v>
      </c>
      <c r="G85" s="487">
        <f>G14*G44*Faktory!$D$8</f>
        <v>0</v>
      </c>
      <c r="H85" s="488">
        <f>((H75*G44)-(H75*((G44-H44)*(1+$S$36))))*Faktory!$D$8</f>
        <v>0</v>
      </c>
      <c r="I85" s="427">
        <f t="shared" si="45"/>
        <v>0</v>
      </c>
      <c r="J85" s="488">
        <f>J14*J44*Faktory!$D$8</f>
        <v>0</v>
      </c>
      <c r="K85" s="488">
        <f>((K75*J44)-(K75*((J44-K44)*(1+$S$36))))*Faktory!$D$8</f>
        <v>0</v>
      </c>
      <c r="L85" s="427">
        <f t="shared" si="46"/>
        <v>0</v>
      </c>
      <c r="M85" s="488">
        <f>M14*M44*Faktory!$D$8</f>
        <v>0</v>
      </c>
      <c r="N85" s="488">
        <f>((N75*M44)-(N75*((M44-N44)*(1+$S$36))))*Faktory!$D$8</f>
        <v>0</v>
      </c>
      <c r="O85" s="427">
        <f t="shared" si="47"/>
        <v>0</v>
      </c>
      <c r="P85" s="488">
        <f>P14*P44*Faktory!$D$8</f>
        <v>22759.184674329503</v>
      </c>
      <c r="Q85" s="489">
        <f>((Q75*P44)-(Q75*((P44-Q44)*(1+$S$36))))*Faktory!$D$8</f>
        <v>9103.6738697318015</v>
      </c>
      <c r="R85" s="429">
        <f t="shared" si="48"/>
        <v>-13655.510804597701</v>
      </c>
    </row>
    <row r="86" spans="1:18" ht="15.75" thickBot="1" x14ac:dyDescent="0.3">
      <c r="A86" s="740"/>
      <c r="B86" s="742"/>
      <c r="C86" s="490" t="s">
        <v>34</v>
      </c>
      <c r="D86" s="491">
        <f t="shared" si="42"/>
        <v>22759.184674329503</v>
      </c>
      <c r="E86" s="492">
        <f t="shared" si="43"/>
        <v>9103.6738697318015</v>
      </c>
      <c r="F86" s="493">
        <f t="shared" si="44"/>
        <v>-13655.510804597701</v>
      </c>
      <c r="G86" s="494">
        <f>G15*G45*Faktory!$D$8</f>
        <v>0</v>
      </c>
      <c r="H86" s="495">
        <f>((H76*G45)-(H76*((G45-H45)*(1+$S$36))))*Faktory!$D$8</f>
        <v>0</v>
      </c>
      <c r="I86" s="436">
        <f t="shared" si="45"/>
        <v>0</v>
      </c>
      <c r="J86" s="495">
        <f>J15*J45*Faktory!$D$8</f>
        <v>0</v>
      </c>
      <c r="K86" s="495">
        <f>((K76*J45)-(K76*((J45-K45)*(1+$S$36))))*Faktory!$D$8</f>
        <v>0</v>
      </c>
      <c r="L86" s="436">
        <f t="shared" si="46"/>
        <v>0</v>
      </c>
      <c r="M86" s="495">
        <f>M15*M45*Faktory!$D$8</f>
        <v>0</v>
      </c>
      <c r="N86" s="495">
        <f>((N76*M45)-(N76*((M45-N45)*(1+$S$36))))*Faktory!$D$8</f>
        <v>0</v>
      </c>
      <c r="O86" s="436">
        <f t="shared" si="47"/>
        <v>0</v>
      </c>
      <c r="P86" s="495">
        <f>P15*P45*Faktory!$D$8</f>
        <v>22759.184674329503</v>
      </c>
      <c r="Q86" s="496">
        <f>((Q76*P45)-(Q76*((P45-Q45)*(1+$S$36))))*Faktory!$D$8</f>
        <v>9103.6738697318015</v>
      </c>
      <c r="R86" s="438">
        <f t="shared" si="48"/>
        <v>-13655.510804597701</v>
      </c>
    </row>
    <row r="87" spans="1:18" x14ac:dyDescent="0.25">
      <c r="A87" s="739" t="s">
        <v>197</v>
      </c>
      <c r="B87" s="741" t="s">
        <v>198</v>
      </c>
      <c r="C87" s="477" t="s">
        <v>25</v>
      </c>
      <c r="D87" s="502">
        <f t="shared" si="42"/>
        <v>2.6455026455026456</v>
      </c>
      <c r="E87" s="503">
        <f t="shared" si="43"/>
        <v>2.6455026455026456</v>
      </c>
      <c r="F87" s="504">
        <f t="shared" si="44"/>
        <v>0</v>
      </c>
      <c r="G87" s="505">
        <f t="shared" ref="G87:H96" si="49">(G6*G36)/12/21/7.5</f>
        <v>0</v>
      </c>
      <c r="H87" s="506">
        <f t="shared" si="49"/>
        <v>0</v>
      </c>
      <c r="I87" s="507">
        <f t="shared" si="45"/>
        <v>0</v>
      </c>
      <c r="J87" s="506">
        <f t="shared" ref="J87:K96" si="50">(J6*J36)/12/21/7.5</f>
        <v>0</v>
      </c>
      <c r="K87" s="506">
        <f t="shared" si="50"/>
        <v>0</v>
      </c>
      <c r="L87" s="507">
        <f t="shared" si="46"/>
        <v>0</v>
      </c>
      <c r="M87" s="506">
        <f t="shared" ref="M87:N96" si="51">(M6*M36)/12/21/7.5</f>
        <v>0</v>
      </c>
      <c r="N87" s="506">
        <f t="shared" si="51"/>
        <v>0</v>
      </c>
      <c r="O87" s="507">
        <f t="shared" si="47"/>
        <v>0</v>
      </c>
      <c r="P87" s="506">
        <f t="shared" ref="P87:Q96" si="52">(P6*P36)/12/21/7.5</f>
        <v>2.6455026455026456</v>
      </c>
      <c r="Q87" s="508">
        <f t="shared" si="52"/>
        <v>2.6455026455026456</v>
      </c>
      <c r="R87" s="509">
        <f t="shared" si="48"/>
        <v>0</v>
      </c>
    </row>
    <row r="88" spans="1:18" x14ac:dyDescent="0.25">
      <c r="A88" s="739"/>
      <c r="B88" s="741"/>
      <c r="C88" s="477" t="s">
        <v>26</v>
      </c>
      <c r="D88" s="502">
        <f t="shared" si="42"/>
        <v>3.1746031746031749</v>
      </c>
      <c r="E88" s="503">
        <f t="shared" si="43"/>
        <v>3.1746031746031749</v>
      </c>
      <c r="F88" s="504">
        <f t="shared" si="44"/>
        <v>0</v>
      </c>
      <c r="G88" s="510">
        <f t="shared" si="49"/>
        <v>0</v>
      </c>
      <c r="H88" s="511">
        <f t="shared" si="49"/>
        <v>0</v>
      </c>
      <c r="I88" s="512">
        <f t="shared" si="45"/>
        <v>0</v>
      </c>
      <c r="J88" s="511">
        <f t="shared" si="50"/>
        <v>0</v>
      </c>
      <c r="K88" s="511">
        <f t="shared" si="50"/>
        <v>0</v>
      </c>
      <c r="L88" s="512">
        <f t="shared" si="46"/>
        <v>0</v>
      </c>
      <c r="M88" s="511">
        <f t="shared" si="51"/>
        <v>0</v>
      </c>
      <c r="N88" s="511">
        <f t="shared" si="51"/>
        <v>0</v>
      </c>
      <c r="O88" s="512">
        <f t="shared" si="47"/>
        <v>0</v>
      </c>
      <c r="P88" s="511">
        <f t="shared" si="52"/>
        <v>3.1746031746031749</v>
      </c>
      <c r="Q88" s="513">
        <f t="shared" si="52"/>
        <v>3.1746031746031749</v>
      </c>
      <c r="R88" s="514">
        <f t="shared" si="48"/>
        <v>0</v>
      </c>
    </row>
    <row r="89" spans="1:18" x14ac:dyDescent="0.25">
      <c r="A89" s="739"/>
      <c r="B89" s="741"/>
      <c r="C89" s="477" t="s">
        <v>27</v>
      </c>
      <c r="D89" s="502">
        <f t="shared" si="42"/>
        <v>3.1746031746031749</v>
      </c>
      <c r="E89" s="503">
        <f t="shared" si="43"/>
        <v>1.2698412698412698</v>
      </c>
      <c r="F89" s="504">
        <f t="shared" si="44"/>
        <v>-1.9047619047619051</v>
      </c>
      <c r="G89" s="510">
        <f t="shared" si="49"/>
        <v>0</v>
      </c>
      <c r="H89" s="511">
        <f t="shared" si="49"/>
        <v>0</v>
      </c>
      <c r="I89" s="512">
        <f t="shared" si="45"/>
        <v>0</v>
      </c>
      <c r="J89" s="511">
        <f t="shared" si="50"/>
        <v>0</v>
      </c>
      <c r="K89" s="511">
        <f t="shared" si="50"/>
        <v>0</v>
      </c>
      <c r="L89" s="512">
        <f t="shared" si="46"/>
        <v>0</v>
      </c>
      <c r="M89" s="511">
        <f t="shared" si="51"/>
        <v>0</v>
      </c>
      <c r="N89" s="511">
        <f t="shared" si="51"/>
        <v>0</v>
      </c>
      <c r="O89" s="512">
        <f t="shared" si="47"/>
        <v>0</v>
      </c>
      <c r="P89" s="511">
        <f t="shared" si="52"/>
        <v>3.1746031746031749</v>
      </c>
      <c r="Q89" s="513">
        <f t="shared" si="52"/>
        <v>1.2698412698412698</v>
      </c>
      <c r="R89" s="514">
        <f t="shared" si="48"/>
        <v>-1.9047619047619051</v>
      </c>
    </row>
    <row r="90" spans="1:18" x14ac:dyDescent="0.25">
      <c r="A90" s="739"/>
      <c r="B90" s="741"/>
      <c r="C90" s="477" t="s">
        <v>28</v>
      </c>
      <c r="D90" s="502">
        <f t="shared" si="42"/>
        <v>2.3809523809523809</v>
      </c>
      <c r="E90" s="503">
        <f t="shared" si="43"/>
        <v>0.95238095238095244</v>
      </c>
      <c r="F90" s="504">
        <f t="shared" si="44"/>
        <v>-1.4285714285714284</v>
      </c>
      <c r="G90" s="510">
        <f t="shared" si="49"/>
        <v>0</v>
      </c>
      <c r="H90" s="511">
        <f t="shared" si="49"/>
        <v>0</v>
      </c>
      <c r="I90" s="512">
        <f t="shared" si="45"/>
        <v>0</v>
      </c>
      <c r="J90" s="511">
        <f t="shared" si="50"/>
        <v>0</v>
      </c>
      <c r="K90" s="511">
        <f t="shared" si="50"/>
        <v>0</v>
      </c>
      <c r="L90" s="512">
        <f t="shared" si="46"/>
        <v>0</v>
      </c>
      <c r="M90" s="511">
        <f t="shared" si="51"/>
        <v>0</v>
      </c>
      <c r="N90" s="511">
        <f t="shared" si="51"/>
        <v>0</v>
      </c>
      <c r="O90" s="512">
        <f t="shared" si="47"/>
        <v>0</v>
      </c>
      <c r="P90" s="511">
        <f t="shared" si="52"/>
        <v>2.3809523809523809</v>
      </c>
      <c r="Q90" s="513">
        <f t="shared" si="52"/>
        <v>0.95238095238095244</v>
      </c>
      <c r="R90" s="514">
        <f t="shared" si="48"/>
        <v>-1.4285714285714284</v>
      </c>
    </row>
    <row r="91" spans="1:18" x14ac:dyDescent="0.25">
      <c r="A91" s="739"/>
      <c r="B91" s="741"/>
      <c r="C91" s="477" t="s">
        <v>29</v>
      </c>
      <c r="D91" s="502">
        <f t="shared" si="42"/>
        <v>1.5873015873015874</v>
      </c>
      <c r="E91" s="503">
        <f t="shared" si="43"/>
        <v>0.63492063492063489</v>
      </c>
      <c r="F91" s="504">
        <f t="shared" si="44"/>
        <v>-0.95238095238095255</v>
      </c>
      <c r="G91" s="510">
        <f t="shared" si="49"/>
        <v>0</v>
      </c>
      <c r="H91" s="511">
        <f t="shared" si="49"/>
        <v>0</v>
      </c>
      <c r="I91" s="512">
        <f t="shared" si="45"/>
        <v>0</v>
      </c>
      <c r="J91" s="511">
        <f t="shared" si="50"/>
        <v>0</v>
      </c>
      <c r="K91" s="511">
        <f t="shared" si="50"/>
        <v>0</v>
      </c>
      <c r="L91" s="512">
        <f t="shared" si="46"/>
        <v>0</v>
      </c>
      <c r="M91" s="511">
        <f t="shared" si="51"/>
        <v>0</v>
      </c>
      <c r="N91" s="511">
        <f t="shared" si="51"/>
        <v>0</v>
      </c>
      <c r="O91" s="512">
        <f t="shared" si="47"/>
        <v>0</v>
      </c>
      <c r="P91" s="511">
        <f t="shared" si="52"/>
        <v>1.5873015873015874</v>
      </c>
      <c r="Q91" s="513">
        <f t="shared" si="52"/>
        <v>0.63492063492063489</v>
      </c>
      <c r="R91" s="514">
        <f t="shared" si="48"/>
        <v>-0.95238095238095255</v>
      </c>
    </row>
    <row r="92" spans="1:18" x14ac:dyDescent="0.25">
      <c r="A92" s="739"/>
      <c r="B92" s="741"/>
      <c r="C92" s="477" t="s">
        <v>30</v>
      </c>
      <c r="D92" s="502">
        <f t="shared" si="42"/>
        <v>1.3227513227513228</v>
      </c>
      <c r="E92" s="503">
        <f t="shared" si="43"/>
        <v>0.52910052910052907</v>
      </c>
      <c r="F92" s="504">
        <f t="shared" si="44"/>
        <v>-0.79365079365079372</v>
      </c>
      <c r="G92" s="510">
        <f t="shared" si="49"/>
        <v>0</v>
      </c>
      <c r="H92" s="511">
        <f t="shared" si="49"/>
        <v>0</v>
      </c>
      <c r="I92" s="512">
        <f t="shared" si="45"/>
        <v>0</v>
      </c>
      <c r="J92" s="511">
        <f t="shared" si="50"/>
        <v>0</v>
      </c>
      <c r="K92" s="511">
        <f t="shared" si="50"/>
        <v>0</v>
      </c>
      <c r="L92" s="512">
        <f t="shared" si="46"/>
        <v>0</v>
      </c>
      <c r="M92" s="511">
        <f t="shared" si="51"/>
        <v>0</v>
      </c>
      <c r="N92" s="511">
        <f t="shared" si="51"/>
        <v>0</v>
      </c>
      <c r="O92" s="512">
        <f t="shared" si="47"/>
        <v>0</v>
      </c>
      <c r="P92" s="511">
        <f t="shared" si="52"/>
        <v>1.3227513227513228</v>
      </c>
      <c r="Q92" s="513">
        <f t="shared" si="52"/>
        <v>0.52910052910052907</v>
      </c>
      <c r="R92" s="514">
        <f t="shared" si="48"/>
        <v>-0.79365079365079372</v>
      </c>
    </row>
    <row r="93" spans="1:18" x14ac:dyDescent="0.25">
      <c r="A93" s="739"/>
      <c r="B93" s="741"/>
      <c r="C93" s="477" t="s">
        <v>31</v>
      </c>
      <c r="D93" s="502">
        <f t="shared" si="42"/>
        <v>1.0582010582010581</v>
      </c>
      <c r="E93" s="503">
        <f t="shared" si="43"/>
        <v>0.42328042328042331</v>
      </c>
      <c r="F93" s="504">
        <f t="shared" si="44"/>
        <v>-0.63492063492063489</v>
      </c>
      <c r="G93" s="510">
        <f t="shared" si="49"/>
        <v>0</v>
      </c>
      <c r="H93" s="511">
        <f t="shared" si="49"/>
        <v>0</v>
      </c>
      <c r="I93" s="512">
        <f t="shared" si="45"/>
        <v>0</v>
      </c>
      <c r="J93" s="511">
        <f t="shared" si="50"/>
        <v>0</v>
      </c>
      <c r="K93" s="511">
        <f t="shared" si="50"/>
        <v>0</v>
      </c>
      <c r="L93" s="512">
        <f t="shared" si="46"/>
        <v>0</v>
      </c>
      <c r="M93" s="511">
        <f t="shared" si="51"/>
        <v>0</v>
      </c>
      <c r="N93" s="511">
        <f t="shared" si="51"/>
        <v>0</v>
      </c>
      <c r="O93" s="512">
        <f t="shared" si="47"/>
        <v>0</v>
      </c>
      <c r="P93" s="511">
        <f t="shared" si="52"/>
        <v>1.0582010582010581</v>
      </c>
      <c r="Q93" s="513">
        <f t="shared" si="52"/>
        <v>0.42328042328042331</v>
      </c>
      <c r="R93" s="514">
        <f t="shared" si="48"/>
        <v>-0.63492063492063489</v>
      </c>
    </row>
    <row r="94" spans="1:18" x14ac:dyDescent="0.25">
      <c r="A94" s="739"/>
      <c r="B94" s="741"/>
      <c r="C94" s="477" t="s">
        <v>32</v>
      </c>
      <c r="D94" s="502">
        <f t="shared" si="42"/>
        <v>1.0582010582010581</v>
      </c>
      <c r="E94" s="503">
        <f t="shared" si="43"/>
        <v>0.42328042328042331</v>
      </c>
      <c r="F94" s="504">
        <f t="shared" si="44"/>
        <v>-0.63492063492063489</v>
      </c>
      <c r="G94" s="510">
        <f t="shared" si="49"/>
        <v>0</v>
      </c>
      <c r="H94" s="511">
        <f t="shared" si="49"/>
        <v>0</v>
      </c>
      <c r="I94" s="512">
        <f t="shared" si="45"/>
        <v>0</v>
      </c>
      <c r="J94" s="511">
        <f t="shared" si="50"/>
        <v>0</v>
      </c>
      <c r="K94" s="511">
        <f t="shared" si="50"/>
        <v>0</v>
      </c>
      <c r="L94" s="512">
        <f t="shared" si="46"/>
        <v>0</v>
      </c>
      <c r="M94" s="511">
        <f t="shared" si="51"/>
        <v>0</v>
      </c>
      <c r="N94" s="511">
        <f t="shared" si="51"/>
        <v>0</v>
      </c>
      <c r="O94" s="512">
        <f t="shared" si="47"/>
        <v>0</v>
      </c>
      <c r="P94" s="511">
        <f t="shared" si="52"/>
        <v>1.0582010582010581</v>
      </c>
      <c r="Q94" s="513">
        <f t="shared" si="52"/>
        <v>0.42328042328042331</v>
      </c>
      <c r="R94" s="514">
        <f t="shared" si="48"/>
        <v>-0.63492063492063489</v>
      </c>
    </row>
    <row r="95" spans="1:18" x14ac:dyDescent="0.25">
      <c r="A95" s="739"/>
      <c r="B95" s="741"/>
      <c r="C95" s="477" t="s">
        <v>33</v>
      </c>
      <c r="D95" s="502">
        <f t="shared" si="42"/>
        <v>1.0582010582010581</v>
      </c>
      <c r="E95" s="503">
        <f t="shared" si="43"/>
        <v>0.42328042328042331</v>
      </c>
      <c r="F95" s="504">
        <f t="shared" si="44"/>
        <v>-0.63492063492063489</v>
      </c>
      <c r="G95" s="510">
        <f t="shared" si="49"/>
        <v>0</v>
      </c>
      <c r="H95" s="511">
        <f t="shared" si="49"/>
        <v>0</v>
      </c>
      <c r="I95" s="512">
        <f t="shared" si="45"/>
        <v>0</v>
      </c>
      <c r="J95" s="511">
        <f t="shared" si="50"/>
        <v>0</v>
      </c>
      <c r="K95" s="511">
        <f t="shared" si="50"/>
        <v>0</v>
      </c>
      <c r="L95" s="512">
        <f t="shared" si="46"/>
        <v>0</v>
      </c>
      <c r="M95" s="511">
        <f t="shared" si="51"/>
        <v>0</v>
      </c>
      <c r="N95" s="511">
        <f t="shared" si="51"/>
        <v>0</v>
      </c>
      <c r="O95" s="512">
        <f t="shared" si="47"/>
        <v>0</v>
      </c>
      <c r="P95" s="511">
        <f t="shared" si="52"/>
        <v>1.0582010582010581</v>
      </c>
      <c r="Q95" s="513">
        <f t="shared" si="52"/>
        <v>0.42328042328042331</v>
      </c>
      <c r="R95" s="514">
        <f t="shared" si="48"/>
        <v>-0.63492063492063489</v>
      </c>
    </row>
    <row r="96" spans="1:18" ht="15.75" thickBot="1" x14ac:dyDescent="0.3">
      <c r="A96" s="740"/>
      <c r="B96" s="742"/>
      <c r="C96" s="490" t="s">
        <v>34</v>
      </c>
      <c r="D96" s="515">
        <f t="shared" si="42"/>
        <v>1.0582010582010581</v>
      </c>
      <c r="E96" s="516">
        <f t="shared" si="43"/>
        <v>0.42328042328042331</v>
      </c>
      <c r="F96" s="517">
        <f t="shared" si="44"/>
        <v>-0.63492063492063489</v>
      </c>
      <c r="G96" s="518">
        <f t="shared" si="49"/>
        <v>0</v>
      </c>
      <c r="H96" s="519">
        <f t="shared" si="49"/>
        <v>0</v>
      </c>
      <c r="I96" s="520">
        <f t="shared" si="45"/>
        <v>0</v>
      </c>
      <c r="J96" s="519">
        <f t="shared" si="50"/>
        <v>0</v>
      </c>
      <c r="K96" s="519">
        <f t="shared" si="50"/>
        <v>0</v>
      </c>
      <c r="L96" s="520">
        <f t="shared" si="46"/>
        <v>0</v>
      </c>
      <c r="M96" s="519">
        <f t="shared" si="51"/>
        <v>0</v>
      </c>
      <c r="N96" s="519">
        <f t="shared" si="51"/>
        <v>0</v>
      </c>
      <c r="O96" s="520">
        <f t="shared" si="47"/>
        <v>0</v>
      </c>
      <c r="P96" s="519">
        <f t="shared" si="52"/>
        <v>1.0582010582010581</v>
      </c>
      <c r="Q96" s="521">
        <f t="shared" si="52"/>
        <v>0.42328042328042331</v>
      </c>
      <c r="R96" s="522">
        <f t="shared" si="48"/>
        <v>-0.63492063492063489</v>
      </c>
    </row>
    <row r="97" spans="1:18" x14ac:dyDescent="0.25">
      <c r="A97" s="739" t="s">
        <v>201</v>
      </c>
      <c r="B97" s="741" t="s">
        <v>13</v>
      </c>
      <c r="C97" s="477" t="s">
        <v>25</v>
      </c>
      <c r="D97" s="478">
        <f>G97+J97+M97+P97</f>
        <v>0</v>
      </c>
      <c r="E97" s="479">
        <f>H97+K97+N97+Q97</f>
        <v>0</v>
      </c>
      <c r="F97" s="480">
        <f>I97+L97+O97+R97</f>
        <v>0</v>
      </c>
      <c r="G97" s="497">
        <v>0</v>
      </c>
      <c r="H97" s="498">
        <f>(G67+I67/2)*((G46-H46)*(1+$S$46))*Faktory!$D$10</f>
        <v>0</v>
      </c>
      <c r="I97" s="416">
        <f>H97</f>
        <v>0</v>
      </c>
      <c r="J97" s="498">
        <v>0</v>
      </c>
      <c r="K97" s="498">
        <f>(J67+L67/2)*((J46-K46)*(1+$S$46))*Faktory!$D$10</f>
        <v>0</v>
      </c>
      <c r="L97" s="416">
        <f>K97</f>
        <v>0</v>
      </c>
      <c r="M97" s="498">
        <v>0</v>
      </c>
      <c r="N97" s="498">
        <f>(M67+O67/2)*((M46-N46)*(1+$S$46))*Faktory!$D$10</f>
        <v>0</v>
      </c>
      <c r="O97" s="416">
        <f>N97</f>
        <v>0</v>
      </c>
      <c r="P97" s="498">
        <v>0</v>
      </c>
      <c r="Q97" s="499">
        <f>(P67+R67/2)*((P46-Q46)*(1+$S$46))*Faktory!$D$10</f>
        <v>0</v>
      </c>
      <c r="R97" s="500">
        <f>Q97</f>
        <v>0</v>
      </c>
    </row>
    <row r="98" spans="1:18" x14ac:dyDescent="0.25">
      <c r="A98" s="739"/>
      <c r="B98" s="741"/>
      <c r="C98" s="477" t="s">
        <v>26</v>
      </c>
      <c r="D98" s="478">
        <f t="shared" ref="D98:D106" si="53">G98+J98+M98+P98</f>
        <v>0</v>
      </c>
      <c r="E98" s="479">
        <f t="shared" ref="E98:E116" si="54">H98+K98+N98+Q98</f>
        <v>0</v>
      </c>
      <c r="F98" s="480">
        <f t="shared" ref="F98:F106" si="55">I98+L98+O98+R98</f>
        <v>0</v>
      </c>
      <c r="G98" s="487">
        <v>0</v>
      </c>
      <c r="H98" s="488">
        <f>(G68+I68/2)*((G47-H47)*(1+$S$46))*Faktory!$D$10</f>
        <v>0</v>
      </c>
      <c r="I98" s="427">
        <f t="shared" ref="I98:I106" si="56">H98</f>
        <v>0</v>
      </c>
      <c r="J98" s="488">
        <v>0</v>
      </c>
      <c r="K98" s="488">
        <f>(J68+L68/2)*((J47-K47)*(1+$S$46))*Faktory!$D$10</f>
        <v>0</v>
      </c>
      <c r="L98" s="427">
        <f t="shared" ref="L98:L106" si="57">K98</f>
        <v>0</v>
      </c>
      <c r="M98" s="488">
        <v>0</v>
      </c>
      <c r="N98" s="488">
        <f>(M68+O68/2)*((M47-N47)*(1+$S$46))*Faktory!$D$10</f>
        <v>0</v>
      </c>
      <c r="O98" s="427">
        <f t="shared" ref="O98:O106" si="58">N98</f>
        <v>0</v>
      </c>
      <c r="P98" s="488">
        <v>0</v>
      </c>
      <c r="Q98" s="489">
        <f>(P68+R68/2)*((P47-Q47)*(1+$S$46))*Faktory!$D$10</f>
        <v>0</v>
      </c>
      <c r="R98" s="429">
        <f t="shared" ref="R98:R106" si="59">Q98</f>
        <v>0</v>
      </c>
    </row>
    <row r="99" spans="1:18" x14ac:dyDescent="0.25">
      <c r="A99" s="739"/>
      <c r="B99" s="741"/>
      <c r="C99" s="477" t="s">
        <v>27</v>
      </c>
      <c r="D99" s="478">
        <f t="shared" si="53"/>
        <v>0</v>
      </c>
      <c r="E99" s="479">
        <f t="shared" si="54"/>
        <v>3045562.5</v>
      </c>
      <c r="F99" s="480">
        <f t="shared" si="55"/>
        <v>3045562.5</v>
      </c>
      <c r="G99" s="487">
        <v>0</v>
      </c>
      <c r="H99" s="488">
        <f>(G69+I69/2)*((G48-H48)*(1+$S$46))*Faktory!$D$10</f>
        <v>1859250</v>
      </c>
      <c r="I99" s="427">
        <f t="shared" si="56"/>
        <v>1859250</v>
      </c>
      <c r="J99" s="488">
        <v>0</v>
      </c>
      <c r="K99" s="488">
        <f>(J69+L69/2)*((J48-K48)*(1+$S$46))*Faktory!$D$10</f>
        <v>929625</v>
      </c>
      <c r="L99" s="427">
        <f t="shared" si="57"/>
        <v>929625</v>
      </c>
      <c r="M99" s="488">
        <v>0</v>
      </c>
      <c r="N99" s="488">
        <f>(M69+O69/2)*((M48-N48)*(1+$S$46))*Faktory!$D$10</f>
        <v>256687.5</v>
      </c>
      <c r="O99" s="427">
        <f t="shared" si="58"/>
        <v>256687.5</v>
      </c>
      <c r="P99" s="488">
        <v>0</v>
      </c>
      <c r="Q99" s="489">
        <f>(P69+R69/2)*((P48-Q48)*(1+$S$46))*Faktory!$D$10</f>
        <v>0</v>
      </c>
      <c r="R99" s="429">
        <f t="shared" si="59"/>
        <v>0</v>
      </c>
    </row>
    <row r="100" spans="1:18" x14ac:dyDescent="0.25">
      <c r="A100" s="739"/>
      <c r="B100" s="741"/>
      <c r="C100" s="477" t="s">
        <v>28</v>
      </c>
      <c r="D100" s="478">
        <f t="shared" si="53"/>
        <v>0</v>
      </c>
      <c r="E100" s="479">
        <f t="shared" si="54"/>
        <v>3854475</v>
      </c>
      <c r="F100" s="480">
        <f t="shared" si="55"/>
        <v>3854475</v>
      </c>
      <c r="G100" s="487">
        <v>0</v>
      </c>
      <c r="H100" s="488">
        <f>(G70+I70/2)*((G49-H49)*(1+$S$46))*Faktory!$D$10</f>
        <v>2303250</v>
      </c>
      <c r="I100" s="427">
        <f t="shared" si="56"/>
        <v>2303250</v>
      </c>
      <c r="J100" s="488">
        <v>0</v>
      </c>
      <c r="K100" s="488">
        <f>(J70+L70/2)*((J49-K49)*(1+$S$46))*Faktory!$D$10</f>
        <v>1151625</v>
      </c>
      <c r="L100" s="427">
        <f t="shared" si="57"/>
        <v>1151625</v>
      </c>
      <c r="M100" s="488">
        <v>0</v>
      </c>
      <c r="N100" s="488">
        <f>(M70+O70/2)*((M49-N49)*(1+$S$46))*Faktory!$D$10</f>
        <v>399600</v>
      </c>
      <c r="O100" s="427">
        <f t="shared" si="58"/>
        <v>399600</v>
      </c>
      <c r="P100" s="488">
        <v>0</v>
      </c>
      <c r="Q100" s="489">
        <f>(P70+R70/2)*((P49-Q49)*(1+$S$46))*Faktory!$D$10</f>
        <v>0</v>
      </c>
      <c r="R100" s="429">
        <f t="shared" si="59"/>
        <v>0</v>
      </c>
    </row>
    <row r="101" spans="1:18" x14ac:dyDescent="0.25">
      <c r="A101" s="739"/>
      <c r="B101" s="741"/>
      <c r="C101" s="477" t="s">
        <v>29</v>
      </c>
      <c r="D101" s="478">
        <f t="shared" si="53"/>
        <v>0</v>
      </c>
      <c r="E101" s="479">
        <f t="shared" si="54"/>
        <v>4719581.25</v>
      </c>
      <c r="F101" s="480">
        <f t="shared" si="55"/>
        <v>4719581.25</v>
      </c>
      <c r="G101" s="487">
        <v>0</v>
      </c>
      <c r="H101" s="488">
        <f>(G71+I71/2)*((G50-H50)*(1+$S$46))*Faktory!$D$10</f>
        <v>2761125</v>
      </c>
      <c r="I101" s="427">
        <f t="shared" si="56"/>
        <v>2761125</v>
      </c>
      <c r="J101" s="488">
        <v>0</v>
      </c>
      <c r="K101" s="488">
        <f>(J71+L71/2)*((J50-K50)*(1+$S$46))*Faktory!$D$10</f>
        <v>1380562.5</v>
      </c>
      <c r="L101" s="427">
        <f t="shared" si="57"/>
        <v>1380562.5</v>
      </c>
      <c r="M101" s="488">
        <v>0</v>
      </c>
      <c r="N101" s="488">
        <f>(M71+O71/2)*((M50-N50)*(1+$S$46))*Faktory!$D$10</f>
        <v>577893.75000000012</v>
      </c>
      <c r="O101" s="427">
        <f t="shared" si="58"/>
        <v>577893.75000000012</v>
      </c>
      <c r="P101" s="488">
        <v>0</v>
      </c>
      <c r="Q101" s="489">
        <f>(P71+R71/2)*((P50-Q50)*(1+$S$46))*Faktory!$D$10</f>
        <v>0</v>
      </c>
      <c r="R101" s="429">
        <f t="shared" si="59"/>
        <v>0</v>
      </c>
    </row>
    <row r="102" spans="1:18" x14ac:dyDescent="0.25">
      <c r="A102" s="739"/>
      <c r="B102" s="741"/>
      <c r="C102" s="477" t="s">
        <v>30</v>
      </c>
      <c r="D102" s="478">
        <f t="shared" si="53"/>
        <v>0</v>
      </c>
      <c r="E102" s="479">
        <f t="shared" si="54"/>
        <v>5669325</v>
      </c>
      <c r="F102" s="480">
        <f t="shared" si="55"/>
        <v>5669325</v>
      </c>
      <c r="G102" s="487">
        <v>0</v>
      </c>
      <c r="H102" s="488">
        <f>(G72+I72/2)*((G51-H51)*(1+$S$46))*Faktory!$D$10</f>
        <v>3246750</v>
      </c>
      <c r="I102" s="427">
        <f t="shared" si="56"/>
        <v>3246750</v>
      </c>
      <c r="J102" s="488">
        <v>0</v>
      </c>
      <c r="K102" s="488">
        <f>(J72+L72/2)*((J51-K51)*(1+$S$46))*Faktory!$D$10</f>
        <v>1623375</v>
      </c>
      <c r="L102" s="427">
        <f t="shared" si="57"/>
        <v>1623375</v>
      </c>
      <c r="M102" s="488">
        <v>0</v>
      </c>
      <c r="N102" s="488">
        <f>(M72+O72/2)*((M51-N51)*(1+$S$46))*Faktory!$D$10</f>
        <v>799200</v>
      </c>
      <c r="O102" s="427">
        <f t="shared" si="58"/>
        <v>799200</v>
      </c>
      <c r="P102" s="488">
        <v>0</v>
      </c>
      <c r="Q102" s="489">
        <f>(P72+R72/2)*((P51-Q51)*(1+$S$46))*Faktory!$D$10</f>
        <v>0</v>
      </c>
      <c r="R102" s="429">
        <f t="shared" si="59"/>
        <v>0</v>
      </c>
    </row>
    <row r="103" spans="1:18" x14ac:dyDescent="0.25">
      <c r="A103" s="739"/>
      <c r="B103" s="741"/>
      <c r="C103" s="477" t="s">
        <v>31</v>
      </c>
      <c r="D103" s="478">
        <f t="shared" si="53"/>
        <v>0</v>
      </c>
      <c r="E103" s="479">
        <f t="shared" si="54"/>
        <v>6653756.25</v>
      </c>
      <c r="F103" s="480">
        <f t="shared" si="55"/>
        <v>6653756.25</v>
      </c>
      <c r="G103" s="487">
        <v>0</v>
      </c>
      <c r="H103" s="488">
        <f>(G73+I73/2)*((G52-H52)*(1+$S$46))*Faktory!$D$10</f>
        <v>3732375</v>
      </c>
      <c r="I103" s="427">
        <f t="shared" si="56"/>
        <v>3732375</v>
      </c>
      <c r="J103" s="488">
        <v>0</v>
      </c>
      <c r="K103" s="488">
        <f>(J73+L73/2)*((J52-K52)*(1+$S$46))*Faktory!$D$10</f>
        <v>1866187.5</v>
      </c>
      <c r="L103" s="427">
        <f t="shared" si="57"/>
        <v>1866187.5</v>
      </c>
      <c r="M103" s="488">
        <v>0</v>
      </c>
      <c r="N103" s="488">
        <f>(M73+O73/2)*((M52-N52)*(1+$S$46))*Faktory!$D$10</f>
        <v>1055193.75</v>
      </c>
      <c r="O103" s="427">
        <f t="shared" si="58"/>
        <v>1055193.75</v>
      </c>
      <c r="P103" s="488">
        <v>0</v>
      </c>
      <c r="Q103" s="489">
        <f>(P73+R73/2)*((P52-Q52)*(1+$S$46))*Faktory!$D$10</f>
        <v>0</v>
      </c>
      <c r="R103" s="429">
        <f t="shared" si="59"/>
        <v>0</v>
      </c>
    </row>
    <row r="104" spans="1:18" x14ac:dyDescent="0.25">
      <c r="A104" s="739"/>
      <c r="B104" s="741"/>
      <c r="C104" s="477" t="s">
        <v>32</v>
      </c>
      <c r="D104" s="478">
        <f t="shared" si="53"/>
        <v>0</v>
      </c>
      <c r="E104" s="479">
        <f t="shared" si="54"/>
        <v>7534125</v>
      </c>
      <c r="F104" s="480">
        <f t="shared" si="55"/>
        <v>7534125</v>
      </c>
      <c r="G104" s="487">
        <v>0</v>
      </c>
      <c r="H104" s="488">
        <f>(G74+I74/2)*((G53-H53)*(1+$S$46))*Faktory!$D$10</f>
        <v>4134750</v>
      </c>
      <c r="I104" s="427">
        <f t="shared" si="56"/>
        <v>4134750</v>
      </c>
      <c r="J104" s="488">
        <v>0</v>
      </c>
      <c r="K104" s="488">
        <f>(J74+L74/2)*((J53-K53)*(1+$S$46))*Faktory!$D$10</f>
        <v>2067375</v>
      </c>
      <c r="L104" s="427">
        <f t="shared" si="57"/>
        <v>2067375</v>
      </c>
      <c r="M104" s="488">
        <v>0</v>
      </c>
      <c r="N104" s="488">
        <f>(M74+O74/2)*((M53-N53)*(1+$S$46))*Faktory!$D$10</f>
        <v>1332000</v>
      </c>
      <c r="O104" s="427">
        <f t="shared" si="58"/>
        <v>1332000</v>
      </c>
      <c r="P104" s="488">
        <v>0</v>
      </c>
      <c r="Q104" s="489">
        <f>(P74+R74/2)*((P53-Q53)*(1+$S$46))*Faktory!$D$10</f>
        <v>0</v>
      </c>
      <c r="R104" s="429">
        <f t="shared" si="59"/>
        <v>0</v>
      </c>
    </row>
    <row r="105" spans="1:18" x14ac:dyDescent="0.25">
      <c r="A105" s="739"/>
      <c r="B105" s="741"/>
      <c r="C105" s="477" t="s">
        <v>33</v>
      </c>
      <c r="D105" s="478">
        <f t="shared" si="53"/>
        <v>0</v>
      </c>
      <c r="E105" s="479">
        <f t="shared" si="54"/>
        <v>9011812.5</v>
      </c>
      <c r="F105" s="480">
        <f t="shared" si="55"/>
        <v>9011812.5</v>
      </c>
      <c r="G105" s="487">
        <v>0</v>
      </c>
      <c r="H105" s="488">
        <f>(G75+I75/2)*((G54-H54)*(1+$S$46))*Faktory!$D$10</f>
        <v>4523250</v>
      </c>
      <c r="I105" s="427">
        <f t="shared" si="56"/>
        <v>4523250</v>
      </c>
      <c r="J105" s="488">
        <v>0</v>
      </c>
      <c r="K105" s="488">
        <f>(J75+L75/2)*((J54-K54)*(1+$S$46))*Faktory!$D$10</f>
        <v>2261625</v>
      </c>
      <c r="L105" s="427">
        <f t="shared" si="57"/>
        <v>2261625</v>
      </c>
      <c r="M105" s="488">
        <v>0</v>
      </c>
      <c r="N105" s="488">
        <f>(M75+O75/2)*((M54-N54)*(1+$S$46))*Faktory!$D$10</f>
        <v>2226937.5</v>
      </c>
      <c r="O105" s="427">
        <f t="shared" si="58"/>
        <v>2226937.5</v>
      </c>
      <c r="P105" s="488">
        <v>0</v>
      </c>
      <c r="Q105" s="489">
        <f>(P75+R75/2)*((P54-Q54)*(1+$S$46))*Faktory!$D$10</f>
        <v>0</v>
      </c>
      <c r="R105" s="429">
        <f t="shared" si="59"/>
        <v>0</v>
      </c>
    </row>
    <row r="106" spans="1:18" ht="15.75" thickBot="1" x14ac:dyDescent="0.3">
      <c r="A106" s="740"/>
      <c r="B106" s="742"/>
      <c r="C106" s="490" t="s">
        <v>34</v>
      </c>
      <c r="D106" s="491">
        <f t="shared" si="53"/>
        <v>0</v>
      </c>
      <c r="E106" s="492">
        <f t="shared" si="54"/>
        <v>9143625</v>
      </c>
      <c r="F106" s="493">
        <f t="shared" si="55"/>
        <v>9143625</v>
      </c>
      <c r="G106" s="494">
        <v>0</v>
      </c>
      <c r="H106" s="495">
        <f>(G76+I76/2)*((G55-H55)*(1+$S$46))*Faktory!$D$10</f>
        <v>4301250</v>
      </c>
      <c r="I106" s="436">
        <f t="shared" si="56"/>
        <v>4301250</v>
      </c>
      <c r="J106" s="495">
        <v>0</v>
      </c>
      <c r="K106" s="495">
        <f>(J76+L76/2)*((J55-K55)*(1+$S$46))*Faktory!$D$10</f>
        <v>2150625</v>
      </c>
      <c r="L106" s="436">
        <f t="shared" si="57"/>
        <v>2150625</v>
      </c>
      <c r="M106" s="495">
        <v>0</v>
      </c>
      <c r="N106" s="495">
        <f>(M76+O76/2)*((M55-N55)*(1+$S$46))*Faktory!$D$10</f>
        <v>2691750</v>
      </c>
      <c r="O106" s="436">
        <f t="shared" si="58"/>
        <v>2691750</v>
      </c>
      <c r="P106" s="495">
        <v>0</v>
      </c>
      <c r="Q106" s="496">
        <f>(P76+R76/2)*((P55-Q55)*(1+$S$46))*Faktory!$D$10</f>
        <v>0</v>
      </c>
      <c r="R106" s="438">
        <f t="shared" si="59"/>
        <v>0</v>
      </c>
    </row>
    <row r="107" spans="1:18" x14ac:dyDescent="0.25">
      <c r="A107" s="739" t="s">
        <v>204</v>
      </c>
      <c r="B107" s="741" t="s">
        <v>13</v>
      </c>
      <c r="C107" s="477" t="s">
        <v>25</v>
      </c>
      <c r="D107" s="478">
        <f>G107+J107+M107+P107</f>
        <v>1958890</v>
      </c>
      <c r="E107" s="479">
        <f t="shared" si="54"/>
        <v>1958890</v>
      </c>
      <c r="F107" s="480">
        <f>E107-D107</f>
        <v>0</v>
      </c>
      <c r="G107" s="497">
        <f t="shared" ref="G107:H116" si="60">G6*G16</f>
        <v>1780000</v>
      </c>
      <c r="H107" s="498">
        <f t="shared" si="60"/>
        <v>1780000</v>
      </c>
      <c r="I107" s="416">
        <f>H107-G107</f>
        <v>0</v>
      </c>
      <c r="J107" s="498">
        <f t="shared" ref="J107:K116" si="61">J6*J16</f>
        <v>178000</v>
      </c>
      <c r="K107" s="498">
        <f t="shared" si="61"/>
        <v>178000</v>
      </c>
      <c r="L107" s="416">
        <f t="shared" ref="L107:L116" si="62">K107-J107</f>
        <v>0</v>
      </c>
      <c r="M107" s="498">
        <f t="shared" ref="M107:N116" si="63">M6*M16</f>
        <v>0</v>
      </c>
      <c r="N107" s="498">
        <f t="shared" si="63"/>
        <v>0</v>
      </c>
      <c r="O107" s="416">
        <f t="shared" ref="O107:O116" si="64">N107-M107</f>
        <v>0</v>
      </c>
      <c r="P107" s="498">
        <f t="shared" ref="P107:Q116" si="65">P6*P16</f>
        <v>890</v>
      </c>
      <c r="Q107" s="499">
        <f t="shared" si="65"/>
        <v>890</v>
      </c>
      <c r="R107" s="500">
        <f t="shared" ref="R107:R116" si="66">Q107-P107</f>
        <v>0</v>
      </c>
    </row>
    <row r="108" spans="1:18" x14ac:dyDescent="0.25">
      <c r="A108" s="739"/>
      <c r="B108" s="741"/>
      <c r="C108" s="477" t="s">
        <v>26</v>
      </c>
      <c r="D108" s="478">
        <f t="shared" ref="D108:D116" si="67">G108+J108+M108+P108</f>
        <v>2448568</v>
      </c>
      <c r="E108" s="479">
        <f t="shared" si="54"/>
        <v>2742268</v>
      </c>
      <c r="F108" s="480">
        <f t="shared" ref="F108:F116" si="68">E108-D108</f>
        <v>293700</v>
      </c>
      <c r="G108" s="487">
        <f t="shared" si="60"/>
        <v>2225000</v>
      </c>
      <c r="H108" s="488">
        <f t="shared" si="60"/>
        <v>2492000</v>
      </c>
      <c r="I108" s="427">
        <f t="shared" ref="I108:I116" si="69">H108-G108</f>
        <v>267000</v>
      </c>
      <c r="J108" s="488">
        <f t="shared" si="61"/>
        <v>222500</v>
      </c>
      <c r="K108" s="488">
        <f t="shared" si="61"/>
        <v>249200</v>
      </c>
      <c r="L108" s="427">
        <f t="shared" si="62"/>
        <v>26700</v>
      </c>
      <c r="M108" s="488">
        <f t="shared" si="63"/>
        <v>0</v>
      </c>
      <c r="N108" s="488">
        <f t="shared" si="63"/>
        <v>0</v>
      </c>
      <c r="O108" s="427">
        <f t="shared" si="64"/>
        <v>0</v>
      </c>
      <c r="P108" s="488">
        <f t="shared" si="65"/>
        <v>1068</v>
      </c>
      <c r="Q108" s="489">
        <f t="shared" si="65"/>
        <v>1068</v>
      </c>
      <c r="R108" s="429">
        <f t="shared" si="66"/>
        <v>0</v>
      </c>
    </row>
    <row r="109" spans="1:18" x14ac:dyDescent="0.25">
      <c r="A109" s="739"/>
      <c r="B109" s="741"/>
      <c r="C109" s="477" t="s">
        <v>27</v>
      </c>
      <c r="D109" s="478">
        <f t="shared" si="67"/>
        <v>2938068</v>
      </c>
      <c r="E109" s="479">
        <f t="shared" si="54"/>
        <v>851240</v>
      </c>
      <c r="F109" s="480">
        <f t="shared" si="68"/>
        <v>-2086828</v>
      </c>
      <c r="G109" s="487">
        <f t="shared" si="60"/>
        <v>2670000</v>
      </c>
      <c r="H109" s="488">
        <f t="shared" si="60"/>
        <v>740000</v>
      </c>
      <c r="I109" s="427">
        <f t="shared" si="69"/>
        <v>-1930000</v>
      </c>
      <c r="J109" s="488">
        <f t="shared" si="61"/>
        <v>267000</v>
      </c>
      <c r="K109" s="488">
        <f t="shared" si="61"/>
        <v>74000</v>
      </c>
      <c r="L109" s="427">
        <f t="shared" si="62"/>
        <v>-193000</v>
      </c>
      <c r="M109" s="488">
        <f t="shared" si="63"/>
        <v>0</v>
      </c>
      <c r="N109" s="488">
        <f t="shared" si="63"/>
        <v>37000</v>
      </c>
      <c r="O109" s="427">
        <f t="shared" si="64"/>
        <v>37000</v>
      </c>
      <c r="P109" s="488">
        <f t="shared" si="65"/>
        <v>1068</v>
      </c>
      <c r="Q109" s="489">
        <f t="shared" si="65"/>
        <v>240</v>
      </c>
      <c r="R109" s="429">
        <f t="shared" si="66"/>
        <v>-828</v>
      </c>
    </row>
    <row r="110" spans="1:18" x14ac:dyDescent="0.25">
      <c r="A110" s="739"/>
      <c r="B110" s="741"/>
      <c r="C110" s="477" t="s">
        <v>28</v>
      </c>
      <c r="D110" s="478">
        <f t="shared" si="67"/>
        <v>3427301</v>
      </c>
      <c r="E110" s="479">
        <f t="shared" si="54"/>
        <v>1113780</v>
      </c>
      <c r="F110" s="480">
        <f t="shared" si="68"/>
        <v>-2313521</v>
      </c>
      <c r="G110" s="487">
        <f t="shared" si="60"/>
        <v>3115000</v>
      </c>
      <c r="H110" s="488">
        <f t="shared" si="60"/>
        <v>960000</v>
      </c>
      <c r="I110" s="427">
        <f t="shared" si="69"/>
        <v>-2155000</v>
      </c>
      <c r="J110" s="488">
        <f t="shared" si="61"/>
        <v>311500</v>
      </c>
      <c r="K110" s="488">
        <f t="shared" si="61"/>
        <v>96000</v>
      </c>
      <c r="L110" s="427">
        <f t="shared" si="62"/>
        <v>-215500</v>
      </c>
      <c r="M110" s="488">
        <f t="shared" si="63"/>
        <v>0</v>
      </c>
      <c r="N110" s="488">
        <f t="shared" si="63"/>
        <v>57600</v>
      </c>
      <c r="O110" s="427">
        <f t="shared" si="64"/>
        <v>57600</v>
      </c>
      <c r="P110" s="488">
        <f t="shared" si="65"/>
        <v>801</v>
      </c>
      <c r="Q110" s="489">
        <f t="shared" si="65"/>
        <v>180</v>
      </c>
      <c r="R110" s="429">
        <f t="shared" si="66"/>
        <v>-621</v>
      </c>
    </row>
    <row r="111" spans="1:18" x14ac:dyDescent="0.25">
      <c r="A111" s="739"/>
      <c r="B111" s="741"/>
      <c r="C111" s="477" t="s">
        <v>29</v>
      </c>
      <c r="D111" s="478">
        <f t="shared" si="67"/>
        <v>3916534</v>
      </c>
      <c r="E111" s="479">
        <f t="shared" si="54"/>
        <v>1392420</v>
      </c>
      <c r="F111" s="480">
        <f t="shared" si="68"/>
        <v>-2524114</v>
      </c>
      <c r="G111" s="487">
        <f t="shared" si="60"/>
        <v>3560000</v>
      </c>
      <c r="H111" s="488">
        <f t="shared" si="60"/>
        <v>1190000</v>
      </c>
      <c r="I111" s="427">
        <f t="shared" si="69"/>
        <v>-2370000</v>
      </c>
      <c r="J111" s="488">
        <f t="shared" si="61"/>
        <v>356000</v>
      </c>
      <c r="K111" s="488">
        <f t="shared" si="61"/>
        <v>119000</v>
      </c>
      <c r="L111" s="427">
        <f t="shared" si="62"/>
        <v>-237000</v>
      </c>
      <c r="M111" s="488">
        <f t="shared" si="63"/>
        <v>0</v>
      </c>
      <c r="N111" s="488">
        <f t="shared" si="63"/>
        <v>83300.000000000015</v>
      </c>
      <c r="O111" s="427">
        <f t="shared" si="64"/>
        <v>83300.000000000015</v>
      </c>
      <c r="P111" s="488">
        <f t="shared" si="65"/>
        <v>534</v>
      </c>
      <c r="Q111" s="489">
        <f t="shared" si="65"/>
        <v>120</v>
      </c>
      <c r="R111" s="429">
        <f t="shared" si="66"/>
        <v>-414</v>
      </c>
    </row>
    <row r="112" spans="1:18" x14ac:dyDescent="0.25">
      <c r="A112" s="739"/>
      <c r="B112" s="741"/>
      <c r="C112" s="477" t="s">
        <v>30</v>
      </c>
      <c r="D112" s="478">
        <f t="shared" si="67"/>
        <v>4405945</v>
      </c>
      <c r="E112" s="479">
        <f t="shared" si="54"/>
        <v>1699300</v>
      </c>
      <c r="F112" s="480">
        <f t="shared" si="68"/>
        <v>-2706645</v>
      </c>
      <c r="G112" s="487">
        <f t="shared" si="60"/>
        <v>4005000</v>
      </c>
      <c r="H112" s="488">
        <f t="shared" si="60"/>
        <v>1440000</v>
      </c>
      <c r="I112" s="427">
        <f t="shared" si="69"/>
        <v>-2565000</v>
      </c>
      <c r="J112" s="488">
        <f t="shared" si="61"/>
        <v>400500</v>
      </c>
      <c r="K112" s="488">
        <f t="shared" si="61"/>
        <v>144000</v>
      </c>
      <c r="L112" s="427">
        <f t="shared" si="62"/>
        <v>-256500</v>
      </c>
      <c r="M112" s="488">
        <f t="shared" si="63"/>
        <v>0</v>
      </c>
      <c r="N112" s="488">
        <f t="shared" si="63"/>
        <v>115200</v>
      </c>
      <c r="O112" s="427">
        <f t="shared" si="64"/>
        <v>115200</v>
      </c>
      <c r="P112" s="488">
        <f t="shared" si="65"/>
        <v>445</v>
      </c>
      <c r="Q112" s="489">
        <f t="shared" si="65"/>
        <v>100</v>
      </c>
      <c r="R112" s="429">
        <f t="shared" si="66"/>
        <v>-345</v>
      </c>
    </row>
    <row r="113" spans="1:19" x14ac:dyDescent="0.25">
      <c r="A113" s="739"/>
      <c r="B113" s="741"/>
      <c r="C113" s="477" t="s">
        <v>31</v>
      </c>
      <c r="D113" s="478">
        <f t="shared" si="67"/>
        <v>4895356</v>
      </c>
      <c r="E113" s="479">
        <f t="shared" si="54"/>
        <v>2011180</v>
      </c>
      <c r="F113" s="480">
        <f t="shared" si="68"/>
        <v>-2884176</v>
      </c>
      <c r="G113" s="487">
        <f t="shared" si="60"/>
        <v>4450000</v>
      </c>
      <c r="H113" s="488">
        <f t="shared" si="60"/>
        <v>1690000</v>
      </c>
      <c r="I113" s="427">
        <f t="shared" si="69"/>
        <v>-2760000</v>
      </c>
      <c r="J113" s="488">
        <f t="shared" si="61"/>
        <v>445000</v>
      </c>
      <c r="K113" s="488">
        <f t="shared" si="61"/>
        <v>169000</v>
      </c>
      <c r="L113" s="427">
        <f t="shared" si="62"/>
        <v>-276000</v>
      </c>
      <c r="M113" s="488">
        <f t="shared" si="63"/>
        <v>0</v>
      </c>
      <c r="N113" s="488">
        <f t="shared" si="63"/>
        <v>152100</v>
      </c>
      <c r="O113" s="427">
        <f t="shared" si="64"/>
        <v>152100</v>
      </c>
      <c r="P113" s="488">
        <f t="shared" si="65"/>
        <v>356</v>
      </c>
      <c r="Q113" s="489">
        <f t="shared" si="65"/>
        <v>80</v>
      </c>
      <c r="R113" s="429">
        <f t="shared" si="66"/>
        <v>-276</v>
      </c>
    </row>
    <row r="114" spans="1:19" x14ac:dyDescent="0.25">
      <c r="A114" s="739"/>
      <c r="B114" s="741"/>
      <c r="C114" s="477" t="s">
        <v>32</v>
      </c>
      <c r="D114" s="478">
        <f t="shared" si="67"/>
        <v>5189056</v>
      </c>
      <c r="E114" s="479">
        <f t="shared" si="54"/>
        <v>2304080</v>
      </c>
      <c r="F114" s="480">
        <f t="shared" si="68"/>
        <v>-2884976</v>
      </c>
      <c r="G114" s="487">
        <f t="shared" si="60"/>
        <v>4717000</v>
      </c>
      <c r="H114" s="488">
        <f t="shared" si="60"/>
        <v>1920000</v>
      </c>
      <c r="I114" s="427">
        <f t="shared" si="69"/>
        <v>-2797000</v>
      </c>
      <c r="J114" s="488">
        <f t="shared" si="61"/>
        <v>471700</v>
      </c>
      <c r="K114" s="488">
        <f t="shared" si="61"/>
        <v>192000</v>
      </c>
      <c r="L114" s="427">
        <f t="shared" si="62"/>
        <v>-279700</v>
      </c>
      <c r="M114" s="488">
        <f t="shared" si="63"/>
        <v>0</v>
      </c>
      <c r="N114" s="488">
        <f t="shared" si="63"/>
        <v>192000</v>
      </c>
      <c r="O114" s="427">
        <f t="shared" si="64"/>
        <v>192000</v>
      </c>
      <c r="P114" s="488">
        <f t="shared" si="65"/>
        <v>356</v>
      </c>
      <c r="Q114" s="489">
        <f t="shared" si="65"/>
        <v>80</v>
      </c>
      <c r="R114" s="429">
        <f t="shared" si="66"/>
        <v>-276</v>
      </c>
    </row>
    <row r="115" spans="1:19" x14ac:dyDescent="0.25">
      <c r="A115" s="739"/>
      <c r="B115" s="741"/>
      <c r="C115" s="477" t="s">
        <v>33</v>
      </c>
      <c r="D115" s="478">
        <f t="shared" si="67"/>
        <v>5482756</v>
      </c>
      <c r="E115" s="479">
        <f t="shared" si="54"/>
        <v>2675080</v>
      </c>
      <c r="F115" s="480">
        <f t="shared" si="68"/>
        <v>-2807676</v>
      </c>
      <c r="G115" s="487">
        <f t="shared" si="60"/>
        <v>4984000</v>
      </c>
      <c r="H115" s="488">
        <f t="shared" si="60"/>
        <v>2140000</v>
      </c>
      <c r="I115" s="427">
        <f t="shared" si="69"/>
        <v>-2844000</v>
      </c>
      <c r="J115" s="488">
        <f t="shared" si="61"/>
        <v>498400</v>
      </c>
      <c r="K115" s="488">
        <f t="shared" si="61"/>
        <v>214000</v>
      </c>
      <c r="L115" s="427">
        <f t="shared" si="62"/>
        <v>-284400</v>
      </c>
      <c r="M115" s="488">
        <f t="shared" si="63"/>
        <v>0</v>
      </c>
      <c r="N115" s="488">
        <f t="shared" si="63"/>
        <v>321000</v>
      </c>
      <c r="O115" s="427">
        <f t="shared" si="64"/>
        <v>321000</v>
      </c>
      <c r="P115" s="488">
        <f t="shared" si="65"/>
        <v>356</v>
      </c>
      <c r="Q115" s="489">
        <f t="shared" si="65"/>
        <v>80</v>
      </c>
      <c r="R115" s="429">
        <f t="shared" si="66"/>
        <v>-276</v>
      </c>
    </row>
    <row r="116" spans="1:19" ht="15.75" thickBot="1" x14ac:dyDescent="0.3">
      <c r="A116" s="740"/>
      <c r="B116" s="742"/>
      <c r="C116" s="490" t="s">
        <v>34</v>
      </c>
      <c r="D116" s="491">
        <f t="shared" si="67"/>
        <v>5678556</v>
      </c>
      <c r="E116" s="492">
        <f t="shared" si="54"/>
        <v>2522080</v>
      </c>
      <c r="F116" s="493">
        <f t="shared" si="68"/>
        <v>-3156476</v>
      </c>
      <c r="G116" s="494">
        <f t="shared" si="60"/>
        <v>5162000</v>
      </c>
      <c r="H116" s="495">
        <f t="shared" si="60"/>
        <v>1940000</v>
      </c>
      <c r="I116" s="436">
        <f t="shared" si="69"/>
        <v>-3222000</v>
      </c>
      <c r="J116" s="495">
        <f t="shared" si="61"/>
        <v>516200</v>
      </c>
      <c r="K116" s="495">
        <f t="shared" si="61"/>
        <v>194000</v>
      </c>
      <c r="L116" s="436">
        <f t="shared" si="62"/>
        <v>-322200</v>
      </c>
      <c r="M116" s="495">
        <f t="shared" si="63"/>
        <v>0</v>
      </c>
      <c r="N116" s="495">
        <f t="shared" si="63"/>
        <v>388000</v>
      </c>
      <c r="O116" s="436">
        <f t="shared" si="64"/>
        <v>388000</v>
      </c>
      <c r="P116" s="495">
        <f t="shared" si="65"/>
        <v>356</v>
      </c>
      <c r="Q116" s="496">
        <f t="shared" si="65"/>
        <v>80</v>
      </c>
      <c r="R116" s="438">
        <f t="shared" si="66"/>
        <v>-276</v>
      </c>
    </row>
    <row r="117" spans="1:19" x14ac:dyDescent="0.25">
      <c r="A117" s="739" t="s">
        <v>199</v>
      </c>
      <c r="B117" s="741" t="s">
        <v>13</v>
      </c>
      <c r="C117" s="477" t="s">
        <v>25</v>
      </c>
      <c r="D117" s="478">
        <f>G117+J117+M117+P117</f>
        <v>2201000</v>
      </c>
      <c r="E117" s="479">
        <f>H117+K117+N117+Q117</f>
        <v>2201000</v>
      </c>
      <c r="F117" s="480">
        <f>I117+L117+O117+R117</f>
        <v>0</v>
      </c>
      <c r="G117" s="497">
        <f t="shared" ref="G117:H126" si="70">G6*G26</f>
        <v>2000000</v>
      </c>
      <c r="H117" s="498">
        <f t="shared" si="70"/>
        <v>2000000</v>
      </c>
      <c r="I117" s="416">
        <f>H117-G117</f>
        <v>0</v>
      </c>
      <c r="J117" s="498">
        <f t="shared" ref="J117:K126" si="71">J6*J26</f>
        <v>200000</v>
      </c>
      <c r="K117" s="498">
        <f t="shared" si="71"/>
        <v>200000</v>
      </c>
      <c r="L117" s="416">
        <f>K117-J117</f>
        <v>0</v>
      </c>
      <c r="M117" s="498">
        <f t="shared" ref="M117:N126" si="72">M6*M26</f>
        <v>0</v>
      </c>
      <c r="N117" s="498">
        <f t="shared" si="72"/>
        <v>0</v>
      </c>
      <c r="O117" s="416">
        <f>N117-M117</f>
        <v>0</v>
      </c>
      <c r="P117" s="498">
        <f t="shared" ref="P117:Q126" si="73">P6*P26</f>
        <v>1000</v>
      </c>
      <c r="Q117" s="499">
        <f t="shared" si="73"/>
        <v>1000</v>
      </c>
      <c r="R117" s="500">
        <f>Q117-P117</f>
        <v>0</v>
      </c>
    </row>
    <row r="118" spans="1:19" x14ac:dyDescent="0.25">
      <c r="A118" s="739"/>
      <c r="B118" s="741"/>
      <c r="C118" s="477" t="s">
        <v>26</v>
      </c>
      <c r="D118" s="478">
        <f t="shared" ref="D118:D126" si="74">G118+J118+M118+P118</f>
        <v>2751200</v>
      </c>
      <c r="E118" s="479">
        <f t="shared" ref="E118:E126" si="75">H118+K118+N118+Q118</f>
        <v>3081200</v>
      </c>
      <c r="F118" s="480">
        <f t="shared" ref="F118:F126" si="76">I118+L118+O118+R118</f>
        <v>330000</v>
      </c>
      <c r="G118" s="487">
        <f t="shared" si="70"/>
        <v>2500000</v>
      </c>
      <c r="H118" s="488">
        <f t="shared" si="70"/>
        <v>2800000</v>
      </c>
      <c r="I118" s="427">
        <f t="shared" ref="I118:I126" si="77">H118-G118</f>
        <v>300000</v>
      </c>
      <c r="J118" s="488">
        <f t="shared" si="71"/>
        <v>250000</v>
      </c>
      <c r="K118" s="488">
        <f t="shared" si="71"/>
        <v>280000</v>
      </c>
      <c r="L118" s="427">
        <f t="shared" ref="L118:L126" si="78">K118-J118</f>
        <v>30000</v>
      </c>
      <c r="M118" s="488">
        <f t="shared" si="72"/>
        <v>0</v>
      </c>
      <c r="N118" s="488">
        <f t="shared" si="72"/>
        <v>0</v>
      </c>
      <c r="O118" s="427">
        <f t="shared" ref="O118:O126" si="79">N118-M118</f>
        <v>0</v>
      </c>
      <c r="P118" s="488">
        <f t="shared" si="73"/>
        <v>1200</v>
      </c>
      <c r="Q118" s="489">
        <f t="shared" si="73"/>
        <v>1200</v>
      </c>
      <c r="R118" s="429">
        <f t="shared" ref="R118:R126" si="80">Q118-P118</f>
        <v>0</v>
      </c>
    </row>
    <row r="119" spans="1:19" x14ac:dyDescent="0.25">
      <c r="A119" s="739"/>
      <c r="B119" s="741"/>
      <c r="C119" s="477" t="s">
        <v>27</v>
      </c>
      <c r="D119" s="478">
        <f t="shared" si="74"/>
        <v>3301200</v>
      </c>
      <c r="E119" s="479">
        <f t="shared" si="75"/>
        <v>2128100</v>
      </c>
      <c r="F119" s="480">
        <f t="shared" si="76"/>
        <v>-1173100</v>
      </c>
      <c r="G119" s="487">
        <f t="shared" si="70"/>
        <v>3000000</v>
      </c>
      <c r="H119" s="488">
        <f t="shared" si="70"/>
        <v>1850000</v>
      </c>
      <c r="I119" s="427">
        <f t="shared" si="77"/>
        <v>-1150000</v>
      </c>
      <c r="J119" s="488">
        <f t="shared" si="71"/>
        <v>300000</v>
      </c>
      <c r="K119" s="488">
        <f t="shared" si="71"/>
        <v>185000</v>
      </c>
      <c r="L119" s="427">
        <f t="shared" si="78"/>
        <v>-115000</v>
      </c>
      <c r="M119" s="488">
        <f t="shared" si="72"/>
        <v>0</v>
      </c>
      <c r="N119" s="488">
        <f t="shared" si="72"/>
        <v>92500</v>
      </c>
      <c r="O119" s="427">
        <f t="shared" si="79"/>
        <v>92500</v>
      </c>
      <c r="P119" s="488">
        <f t="shared" si="73"/>
        <v>1200</v>
      </c>
      <c r="Q119" s="489">
        <f t="shared" si="73"/>
        <v>600</v>
      </c>
      <c r="R119" s="429">
        <f t="shared" si="80"/>
        <v>-600</v>
      </c>
    </row>
    <row r="120" spans="1:19" x14ac:dyDescent="0.25">
      <c r="A120" s="739"/>
      <c r="B120" s="741"/>
      <c r="C120" s="477" t="s">
        <v>28</v>
      </c>
      <c r="D120" s="478">
        <f t="shared" si="74"/>
        <v>3850900</v>
      </c>
      <c r="E120" s="479">
        <f t="shared" si="75"/>
        <v>2784450</v>
      </c>
      <c r="F120" s="480">
        <f t="shared" si="76"/>
        <v>-1066450</v>
      </c>
      <c r="G120" s="487">
        <f t="shared" si="70"/>
        <v>3500000</v>
      </c>
      <c r="H120" s="488">
        <f t="shared" si="70"/>
        <v>2400000</v>
      </c>
      <c r="I120" s="427">
        <f t="shared" si="77"/>
        <v>-1100000</v>
      </c>
      <c r="J120" s="488">
        <f t="shared" si="71"/>
        <v>350000</v>
      </c>
      <c r="K120" s="488">
        <f t="shared" si="71"/>
        <v>240000</v>
      </c>
      <c r="L120" s="427">
        <f t="shared" si="78"/>
        <v>-110000</v>
      </c>
      <c r="M120" s="488">
        <f t="shared" si="72"/>
        <v>0</v>
      </c>
      <c r="N120" s="488">
        <f t="shared" si="72"/>
        <v>144000</v>
      </c>
      <c r="O120" s="427">
        <f t="shared" si="79"/>
        <v>144000</v>
      </c>
      <c r="P120" s="488">
        <f t="shared" si="73"/>
        <v>900</v>
      </c>
      <c r="Q120" s="489">
        <f t="shared" si="73"/>
        <v>450</v>
      </c>
      <c r="R120" s="429">
        <f t="shared" si="80"/>
        <v>-450</v>
      </c>
    </row>
    <row r="121" spans="1:19" x14ac:dyDescent="0.25">
      <c r="A121" s="739"/>
      <c r="B121" s="741"/>
      <c r="C121" s="477" t="s">
        <v>29</v>
      </c>
      <c r="D121" s="478">
        <f t="shared" si="74"/>
        <v>4400600</v>
      </c>
      <c r="E121" s="479">
        <f t="shared" si="75"/>
        <v>3481050</v>
      </c>
      <c r="F121" s="480">
        <f t="shared" si="76"/>
        <v>-919550</v>
      </c>
      <c r="G121" s="487">
        <f t="shared" si="70"/>
        <v>4000000</v>
      </c>
      <c r="H121" s="488">
        <f t="shared" si="70"/>
        <v>2975000</v>
      </c>
      <c r="I121" s="427">
        <f t="shared" si="77"/>
        <v>-1025000</v>
      </c>
      <c r="J121" s="488">
        <f t="shared" si="71"/>
        <v>400000</v>
      </c>
      <c r="K121" s="488">
        <f t="shared" si="71"/>
        <v>297500</v>
      </c>
      <c r="L121" s="427">
        <f t="shared" si="78"/>
        <v>-102500</v>
      </c>
      <c r="M121" s="488">
        <f t="shared" si="72"/>
        <v>0</v>
      </c>
      <c r="N121" s="488">
        <f t="shared" si="72"/>
        <v>208250.00000000003</v>
      </c>
      <c r="O121" s="427">
        <f t="shared" si="79"/>
        <v>208250.00000000003</v>
      </c>
      <c r="P121" s="488">
        <f t="shared" si="73"/>
        <v>600</v>
      </c>
      <c r="Q121" s="489">
        <f t="shared" si="73"/>
        <v>300</v>
      </c>
      <c r="R121" s="429">
        <f t="shared" si="80"/>
        <v>-300</v>
      </c>
    </row>
    <row r="122" spans="1:19" x14ac:dyDescent="0.25">
      <c r="A122" s="739"/>
      <c r="B122" s="741"/>
      <c r="C122" s="477" t="s">
        <v>30</v>
      </c>
      <c r="D122" s="478">
        <f t="shared" si="74"/>
        <v>4950500</v>
      </c>
      <c r="E122" s="479">
        <f t="shared" si="75"/>
        <v>4248250</v>
      </c>
      <c r="F122" s="480">
        <f t="shared" si="76"/>
        <v>-702250</v>
      </c>
      <c r="G122" s="487">
        <f t="shared" si="70"/>
        <v>4500000</v>
      </c>
      <c r="H122" s="488">
        <f t="shared" si="70"/>
        <v>3600000</v>
      </c>
      <c r="I122" s="427">
        <f t="shared" si="77"/>
        <v>-900000</v>
      </c>
      <c r="J122" s="488">
        <f t="shared" si="71"/>
        <v>450000</v>
      </c>
      <c r="K122" s="488">
        <f t="shared" si="71"/>
        <v>360000</v>
      </c>
      <c r="L122" s="427">
        <f t="shared" si="78"/>
        <v>-90000</v>
      </c>
      <c r="M122" s="488">
        <f t="shared" si="72"/>
        <v>0</v>
      </c>
      <c r="N122" s="488">
        <f t="shared" si="72"/>
        <v>288000</v>
      </c>
      <c r="O122" s="427">
        <f t="shared" si="79"/>
        <v>288000</v>
      </c>
      <c r="P122" s="488">
        <f t="shared" si="73"/>
        <v>500</v>
      </c>
      <c r="Q122" s="489">
        <f t="shared" si="73"/>
        <v>250</v>
      </c>
      <c r="R122" s="429">
        <f t="shared" si="80"/>
        <v>-250</v>
      </c>
    </row>
    <row r="123" spans="1:19" x14ac:dyDescent="0.25">
      <c r="A123" s="739"/>
      <c r="B123" s="741"/>
      <c r="C123" s="477" t="s">
        <v>31</v>
      </c>
      <c r="D123" s="478">
        <f t="shared" si="74"/>
        <v>5500400</v>
      </c>
      <c r="E123" s="479">
        <f t="shared" si="75"/>
        <v>5027950</v>
      </c>
      <c r="F123" s="480">
        <f t="shared" si="76"/>
        <v>-472450</v>
      </c>
      <c r="G123" s="487">
        <f t="shared" si="70"/>
        <v>5000000</v>
      </c>
      <c r="H123" s="488">
        <f t="shared" si="70"/>
        <v>4225000</v>
      </c>
      <c r="I123" s="427">
        <f t="shared" si="77"/>
        <v>-775000</v>
      </c>
      <c r="J123" s="488">
        <f t="shared" si="71"/>
        <v>500000</v>
      </c>
      <c r="K123" s="488">
        <f t="shared" si="71"/>
        <v>422500</v>
      </c>
      <c r="L123" s="427">
        <f t="shared" si="78"/>
        <v>-77500</v>
      </c>
      <c r="M123" s="488">
        <f t="shared" si="72"/>
        <v>0</v>
      </c>
      <c r="N123" s="488">
        <f t="shared" si="72"/>
        <v>380250</v>
      </c>
      <c r="O123" s="427">
        <f t="shared" si="79"/>
        <v>380250</v>
      </c>
      <c r="P123" s="488">
        <f t="shared" si="73"/>
        <v>400</v>
      </c>
      <c r="Q123" s="489">
        <f t="shared" si="73"/>
        <v>200</v>
      </c>
      <c r="R123" s="429">
        <f t="shared" si="80"/>
        <v>-200</v>
      </c>
    </row>
    <row r="124" spans="1:19" x14ac:dyDescent="0.25">
      <c r="A124" s="739"/>
      <c r="B124" s="741"/>
      <c r="C124" s="477" t="s">
        <v>32</v>
      </c>
      <c r="D124" s="478">
        <f t="shared" si="74"/>
        <v>5830400</v>
      </c>
      <c r="E124" s="479">
        <f t="shared" si="75"/>
        <v>5760200</v>
      </c>
      <c r="F124" s="480">
        <f t="shared" si="76"/>
        <v>-70200</v>
      </c>
      <c r="G124" s="487">
        <f t="shared" si="70"/>
        <v>5300000</v>
      </c>
      <c r="H124" s="488">
        <f t="shared" si="70"/>
        <v>4800000</v>
      </c>
      <c r="I124" s="427">
        <f t="shared" si="77"/>
        <v>-500000</v>
      </c>
      <c r="J124" s="488">
        <f t="shared" si="71"/>
        <v>530000</v>
      </c>
      <c r="K124" s="488">
        <f t="shared" si="71"/>
        <v>480000</v>
      </c>
      <c r="L124" s="427">
        <f t="shared" si="78"/>
        <v>-50000</v>
      </c>
      <c r="M124" s="488">
        <f t="shared" si="72"/>
        <v>0</v>
      </c>
      <c r="N124" s="488">
        <f t="shared" si="72"/>
        <v>480000</v>
      </c>
      <c r="O124" s="427">
        <f t="shared" si="79"/>
        <v>480000</v>
      </c>
      <c r="P124" s="488">
        <f t="shared" si="73"/>
        <v>400</v>
      </c>
      <c r="Q124" s="489">
        <f t="shared" si="73"/>
        <v>200</v>
      </c>
      <c r="R124" s="429">
        <f t="shared" si="80"/>
        <v>-200</v>
      </c>
    </row>
    <row r="125" spans="1:19" x14ac:dyDescent="0.25">
      <c r="A125" s="739"/>
      <c r="B125" s="741"/>
      <c r="C125" s="477" t="s">
        <v>33</v>
      </c>
      <c r="D125" s="478">
        <f t="shared" si="74"/>
        <v>6160400</v>
      </c>
      <c r="E125" s="479">
        <f t="shared" si="75"/>
        <v>6687700</v>
      </c>
      <c r="F125" s="480">
        <f t="shared" si="76"/>
        <v>527300</v>
      </c>
      <c r="G125" s="487">
        <f t="shared" si="70"/>
        <v>5600000</v>
      </c>
      <c r="H125" s="488">
        <f t="shared" si="70"/>
        <v>5350000</v>
      </c>
      <c r="I125" s="427">
        <f t="shared" si="77"/>
        <v>-250000</v>
      </c>
      <c r="J125" s="488">
        <f t="shared" si="71"/>
        <v>560000</v>
      </c>
      <c r="K125" s="488">
        <f t="shared" si="71"/>
        <v>535000</v>
      </c>
      <c r="L125" s="427">
        <f t="shared" si="78"/>
        <v>-25000</v>
      </c>
      <c r="M125" s="488">
        <f t="shared" si="72"/>
        <v>0</v>
      </c>
      <c r="N125" s="488">
        <f t="shared" si="72"/>
        <v>802500</v>
      </c>
      <c r="O125" s="427">
        <f t="shared" si="79"/>
        <v>802500</v>
      </c>
      <c r="P125" s="488">
        <f t="shared" si="73"/>
        <v>400</v>
      </c>
      <c r="Q125" s="489">
        <f t="shared" si="73"/>
        <v>200</v>
      </c>
      <c r="R125" s="429">
        <f t="shared" si="80"/>
        <v>-200</v>
      </c>
    </row>
    <row r="126" spans="1:19" ht="15.75" thickBot="1" x14ac:dyDescent="0.3">
      <c r="A126" s="740"/>
      <c r="B126" s="742"/>
      <c r="C126" s="490" t="s">
        <v>34</v>
      </c>
      <c r="D126" s="491">
        <f t="shared" si="74"/>
        <v>6380400</v>
      </c>
      <c r="E126" s="492">
        <f t="shared" si="75"/>
        <v>6305200</v>
      </c>
      <c r="F126" s="493">
        <f t="shared" si="76"/>
        <v>-75200</v>
      </c>
      <c r="G126" s="494">
        <f t="shared" si="70"/>
        <v>5800000</v>
      </c>
      <c r="H126" s="495">
        <f t="shared" si="70"/>
        <v>4850000</v>
      </c>
      <c r="I126" s="436">
        <f t="shared" si="77"/>
        <v>-950000</v>
      </c>
      <c r="J126" s="495">
        <f t="shared" si="71"/>
        <v>580000</v>
      </c>
      <c r="K126" s="495">
        <f t="shared" si="71"/>
        <v>485000</v>
      </c>
      <c r="L126" s="436">
        <f t="shared" si="78"/>
        <v>-95000</v>
      </c>
      <c r="M126" s="495">
        <f t="shared" si="72"/>
        <v>0</v>
      </c>
      <c r="N126" s="495">
        <f t="shared" si="72"/>
        <v>970000</v>
      </c>
      <c r="O126" s="436">
        <f t="shared" si="79"/>
        <v>970000</v>
      </c>
      <c r="P126" s="495">
        <f t="shared" si="73"/>
        <v>400</v>
      </c>
      <c r="Q126" s="496">
        <f t="shared" si="73"/>
        <v>200</v>
      </c>
      <c r="R126" s="438">
        <f t="shared" si="80"/>
        <v>-200</v>
      </c>
    </row>
    <row r="127" spans="1:19" x14ac:dyDescent="0.25">
      <c r="A127" s="739" t="s">
        <v>39</v>
      </c>
      <c r="B127" s="741" t="s">
        <v>13</v>
      </c>
      <c r="C127" s="477" t="s">
        <v>25</v>
      </c>
      <c r="D127" s="478">
        <f>G127+J127+M127+P127</f>
        <v>0</v>
      </c>
      <c r="E127" s="479">
        <f>H127+K127+N127+Q127</f>
        <v>0</v>
      </c>
      <c r="F127" s="480">
        <f>I127+L127+O127+R127</f>
        <v>0</v>
      </c>
      <c r="G127" s="497">
        <f>G56</f>
        <v>0</v>
      </c>
      <c r="H127" s="498">
        <f>H56*(1+$S$127)</f>
        <v>0</v>
      </c>
      <c r="I127" s="416">
        <f>H127-G127</f>
        <v>0</v>
      </c>
      <c r="J127" s="498">
        <f t="shared" ref="J127:J136" si="81">J56</f>
        <v>0</v>
      </c>
      <c r="K127" s="498">
        <f t="shared" ref="K127:K136" si="82">K56*(1+$S$127)</f>
        <v>0</v>
      </c>
      <c r="L127" s="416">
        <f>K127-J127</f>
        <v>0</v>
      </c>
      <c r="M127" s="498">
        <f t="shared" ref="M127:M136" si="83">M56</f>
        <v>0</v>
      </c>
      <c r="N127" s="498">
        <f t="shared" ref="N127:N136" si="84">N56*(1+$S$127)</f>
        <v>0</v>
      </c>
      <c r="O127" s="416">
        <f>N127-M127</f>
        <v>0</v>
      </c>
      <c r="P127" s="498">
        <f t="shared" ref="P127:P136" si="85">P56</f>
        <v>0</v>
      </c>
      <c r="Q127" s="499">
        <f t="shared" ref="Q127:Q136" si="86">Q56*(1+$S$127)</f>
        <v>0</v>
      </c>
      <c r="R127" s="500">
        <f>Q127-P127</f>
        <v>0</v>
      </c>
      <c r="S127" s="419">
        <f>'Analyza citlivosti - AgendovéIS'!H7</f>
        <v>0</v>
      </c>
    </row>
    <row r="128" spans="1:19" x14ac:dyDescent="0.25">
      <c r="A128" s="739"/>
      <c r="B128" s="741"/>
      <c r="C128" s="477" t="s">
        <v>26</v>
      </c>
      <c r="D128" s="478">
        <f t="shared" ref="D128:D136" si="87">G128+J128+M128+P128</f>
        <v>0</v>
      </c>
      <c r="E128" s="479">
        <f t="shared" ref="E128:E136" si="88">H128+K128+N128+Q128</f>
        <v>0</v>
      </c>
      <c r="F128" s="480">
        <f t="shared" ref="F128:F136" si="89">I128+L128+O128+R128</f>
        <v>0</v>
      </c>
      <c r="G128" s="487">
        <f t="shared" ref="G128:G136" si="90">G57</f>
        <v>0</v>
      </c>
      <c r="H128" s="488">
        <f t="shared" ref="H128:H136" si="91">H57*(1+$S$127)</f>
        <v>0</v>
      </c>
      <c r="I128" s="427">
        <f t="shared" ref="I128:I136" si="92">H128-G128</f>
        <v>0</v>
      </c>
      <c r="J128" s="488">
        <f t="shared" si="81"/>
        <v>0</v>
      </c>
      <c r="K128" s="488">
        <f t="shared" si="82"/>
        <v>0</v>
      </c>
      <c r="L128" s="427">
        <f t="shared" ref="L128:L136" si="93">K128-J128</f>
        <v>0</v>
      </c>
      <c r="M128" s="488">
        <f t="shared" si="83"/>
        <v>0</v>
      </c>
      <c r="N128" s="488">
        <f t="shared" si="84"/>
        <v>0</v>
      </c>
      <c r="O128" s="427">
        <f t="shared" ref="O128:O136" si="94">N128-M128</f>
        <v>0</v>
      </c>
      <c r="P128" s="488">
        <f t="shared" si="85"/>
        <v>0</v>
      </c>
      <c r="Q128" s="489">
        <f t="shared" si="86"/>
        <v>0</v>
      </c>
      <c r="R128" s="429">
        <f t="shared" ref="R128:R136" si="95">Q128-P128</f>
        <v>0</v>
      </c>
    </row>
    <row r="129" spans="1:18" x14ac:dyDescent="0.25">
      <c r="A129" s="739"/>
      <c r="B129" s="741"/>
      <c r="C129" s="477" t="s">
        <v>27</v>
      </c>
      <c r="D129" s="478">
        <f t="shared" si="87"/>
        <v>0</v>
      </c>
      <c r="E129" s="479">
        <f t="shared" si="88"/>
        <v>0</v>
      </c>
      <c r="F129" s="480">
        <f t="shared" si="89"/>
        <v>0</v>
      </c>
      <c r="G129" s="487">
        <f t="shared" si="90"/>
        <v>0</v>
      </c>
      <c r="H129" s="488">
        <f t="shared" si="91"/>
        <v>0</v>
      </c>
      <c r="I129" s="427">
        <f t="shared" si="92"/>
        <v>0</v>
      </c>
      <c r="J129" s="488">
        <f t="shared" si="81"/>
        <v>0</v>
      </c>
      <c r="K129" s="488">
        <f t="shared" si="82"/>
        <v>0</v>
      </c>
      <c r="L129" s="427">
        <f t="shared" si="93"/>
        <v>0</v>
      </c>
      <c r="M129" s="488">
        <f t="shared" si="83"/>
        <v>0</v>
      </c>
      <c r="N129" s="488">
        <f t="shared" si="84"/>
        <v>0</v>
      </c>
      <c r="O129" s="427">
        <f t="shared" si="94"/>
        <v>0</v>
      </c>
      <c r="P129" s="488">
        <f t="shared" si="85"/>
        <v>0</v>
      </c>
      <c r="Q129" s="489">
        <f t="shared" si="86"/>
        <v>0</v>
      </c>
      <c r="R129" s="429">
        <f t="shared" si="95"/>
        <v>0</v>
      </c>
    </row>
    <row r="130" spans="1:18" x14ac:dyDescent="0.25">
      <c r="A130" s="739"/>
      <c r="B130" s="741"/>
      <c r="C130" s="477" t="s">
        <v>28</v>
      </c>
      <c r="D130" s="478">
        <f t="shared" si="87"/>
        <v>0</v>
      </c>
      <c r="E130" s="479">
        <f t="shared" si="88"/>
        <v>0</v>
      </c>
      <c r="F130" s="480">
        <f t="shared" si="89"/>
        <v>0</v>
      </c>
      <c r="G130" s="487">
        <f t="shared" si="90"/>
        <v>0</v>
      </c>
      <c r="H130" s="488">
        <f t="shared" si="91"/>
        <v>0</v>
      </c>
      <c r="I130" s="427">
        <f t="shared" si="92"/>
        <v>0</v>
      </c>
      <c r="J130" s="488">
        <f t="shared" si="81"/>
        <v>0</v>
      </c>
      <c r="K130" s="488">
        <f t="shared" si="82"/>
        <v>0</v>
      </c>
      <c r="L130" s="427">
        <f t="shared" si="93"/>
        <v>0</v>
      </c>
      <c r="M130" s="488">
        <f t="shared" si="83"/>
        <v>0</v>
      </c>
      <c r="N130" s="488">
        <f t="shared" si="84"/>
        <v>0</v>
      </c>
      <c r="O130" s="427">
        <f t="shared" si="94"/>
        <v>0</v>
      </c>
      <c r="P130" s="488">
        <f t="shared" si="85"/>
        <v>0</v>
      </c>
      <c r="Q130" s="489">
        <f t="shared" si="86"/>
        <v>0</v>
      </c>
      <c r="R130" s="429">
        <f t="shared" si="95"/>
        <v>0</v>
      </c>
    </row>
    <row r="131" spans="1:18" x14ac:dyDescent="0.25">
      <c r="A131" s="739"/>
      <c r="B131" s="741"/>
      <c r="C131" s="477" t="s">
        <v>29</v>
      </c>
      <c r="D131" s="478">
        <f t="shared" si="87"/>
        <v>0</v>
      </c>
      <c r="E131" s="479">
        <f t="shared" si="88"/>
        <v>0</v>
      </c>
      <c r="F131" s="480">
        <f t="shared" si="89"/>
        <v>0</v>
      </c>
      <c r="G131" s="487">
        <f t="shared" si="90"/>
        <v>0</v>
      </c>
      <c r="H131" s="488">
        <f t="shared" si="91"/>
        <v>0</v>
      </c>
      <c r="I131" s="427">
        <f t="shared" si="92"/>
        <v>0</v>
      </c>
      <c r="J131" s="488">
        <f t="shared" si="81"/>
        <v>0</v>
      </c>
      <c r="K131" s="488">
        <f t="shared" si="82"/>
        <v>0</v>
      </c>
      <c r="L131" s="427">
        <f t="shared" si="93"/>
        <v>0</v>
      </c>
      <c r="M131" s="488">
        <f t="shared" si="83"/>
        <v>0</v>
      </c>
      <c r="N131" s="488">
        <f t="shared" si="84"/>
        <v>0</v>
      </c>
      <c r="O131" s="427">
        <f t="shared" si="94"/>
        <v>0</v>
      </c>
      <c r="P131" s="488">
        <f t="shared" si="85"/>
        <v>0</v>
      </c>
      <c r="Q131" s="489">
        <f t="shared" si="86"/>
        <v>0</v>
      </c>
      <c r="R131" s="429">
        <f t="shared" si="95"/>
        <v>0</v>
      </c>
    </row>
    <row r="132" spans="1:18" x14ac:dyDescent="0.25">
      <c r="A132" s="739"/>
      <c r="B132" s="741"/>
      <c r="C132" s="477" t="s">
        <v>30</v>
      </c>
      <c r="D132" s="478">
        <f t="shared" si="87"/>
        <v>0</v>
      </c>
      <c r="E132" s="479">
        <f t="shared" si="88"/>
        <v>0</v>
      </c>
      <c r="F132" s="480">
        <f t="shared" si="89"/>
        <v>0</v>
      </c>
      <c r="G132" s="487">
        <f t="shared" si="90"/>
        <v>0</v>
      </c>
      <c r="H132" s="488">
        <f t="shared" si="91"/>
        <v>0</v>
      </c>
      <c r="I132" s="427">
        <f t="shared" si="92"/>
        <v>0</v>
      </c>
      <c r="J132" s="488">
        <f t="shared" si="81"/>
        <v>0</v>
      </c>
      <c r="K132" s="488">
        <f t="shared" si="82"/>
        <v>0</v>
      </c>
      <c r="L132" s="427">
        <f t="shared" si="93"/>
        <v>0</v>
      </c>
      <c r="M132" s="488">
        <f t="shared" si="83"/>
        <v>0</v>
      </c>
      <c r="N132" s="488">
        <f t="shared" si="84"/>
        <v>0</v>
      </c>
      <c r="O132" s="427">
        <f t="shared" si="94"/>
        <v>0</v>
      </c>
      <c r="P132" s="488">
        <f t="shared" si="85"/>
        <v>0</v>
      </c>
      <c r="Q132" s="489">
        <f t="shared" si="86"/>
        <v>0</v>
      </c>
      <c r="R132" s="429">
        <f t="shared" si="95"/>
        <v>0</v>
      </c>
    </row>
    <row r="133" spans="1:18" x14ac:dyDescent="0.25">
      <c r="A133" s="739"/>
      <c r="B133" s="741"/>
      <c r="C133" s="477" t="s">
        <v>31</v>
      </c>
      <c r="D133" s="478">
        <f t="shared" si="87"/>
        <v>0</v>
      </c>
      <c r="E133" s="479">
        <f t="shared" si="88"/>
        <v>0</v>
      </c>
      <c r="F133" s="480">
        <f t="shared" si="89"/>
        <v>0</v>
      </c>
      <c r="G133" s="487">
        <f t="shared" si="90"/>
        <v>0</v>
      </c>
      <c r="H133" s="488">
        <f t="shared" si="91"/>
        <v>0</v>
      </c>
      <c r="I133" s="427">
        <f t="shared" si="92"/>
        <v>0</v>
      </c>
      <c r="J133" s="488">
        <f t="shared" si="81"/>
        <v>0</v>
      </c>
      <c r="K133" s="488">
        <f t="shared" si="82"/>
        <v>0</v>
      </c>
      <c r="L133" s="427">
        <f t="shared" si="93"/>
        <v>0</v>
      </c>
      <c r="M133" s="488">
        <f t="shared" si="83"/>
        <v>0</v>
      </c>
      <c r="N133" s="488">
        <f t="shared" si="84"/>
        <v>0</v>
      </c>
      <c r="O133" s="427">
        <f t="shared" si="94"/>
        <v>0</v>
      </c>
      <c r="P133" s="488">
        <f t="shared" si="85"/>
        <v>0</v>
      </c>
      <c r="Q133" s="489">
        <f t="shared" si="86"/>
        <v>0</v>
      </c>
      <c r="R133" s="429">
        <f t="shared" si="95"/>
        <v>0</v>
      </c>
    </row>
    <row r="134" spans="1:18" x14ac:dyDescent="0.25">
      <c r="A134" s="739"/>
      <c r="B134" s="741"/>
      <c r="C134" s="477" t="s">
        <v>32</v>
      </c>
      <c r="D134" s="478">
        <f t="shared" si="87"/>
        <v>0</v>
      </c>
      <c r="E134" s="479">
        <f t="shared" si="88"/>
        <v>0</v>
      </c>
      <c r="F134" s="480">
        <f t="shared" si="89"/>
        <v>0</v>
      </c>
      <c r="G134" s="487">
        <f t="shared" si="90"/>
        <v>0</v>
      </c>
      <c r="H134" s="488">
        <f t="shared" si="91"/>
        <v>0</v>
      </c>
      <c r="I134" s="427">
        <f t="shared" si="92"/>
        <v>0</v>
      </c>
      <c r="J134" s="488">
        <f t="shared" si="81"/>
        <v>0</v>
      </c>
      <c r="K134" s="488">
        <f t="shared" si="82"/>
        <v>0</v>
      </c>
      <c r="L134" s="427">
        <f t="shared" si="93"/>
        <v>0</v>
      </c>
      <c r="M134" s="488">
        <f t="shared" si="83"/>
        <v>0</v>
      </c>
      <c r="N134" s="488">
        <f t="shared" si="84"/>
        <v>0</v>
      </c>
      <c r="O134" s="427">
        <f t="shared" si="94"/>
        <v>0</v>
      </c>
      <c r="P134" s="488">
        <f t="shared" si="85"/>
        <v>0</v>
      </c>
      <c r="Q134" s="489">
        <f t="shared" si="86"/>
        <v>0</v>
      </c>
      <c r="R134" s="429">
        <f t="shared" si="95"/>
        <v>0</v>
      </c>
    </row>
    <row r="135" spans="1:18" x14ac:dyDescent="0.25">
      <c r="A135" s="739"/>
      <c r="B135" s="741"/>
      <c r="C135" s="477" t="s">
        <v>33</v>
      </c>
      <c r="D135" s="478">
        <f t="shared" si="87"/>
        <v>0</v>
      </c>
      <c r="E135" s="479">
        <f t="shared" si="88"/>
        <v>0</v>
      </c>
      <c r="F135" s="480">
        <f t="shared" si="89"/>
        <v>0</v>
      </c>
      <c r="G135" s="487">
        <f t="shared" si="90"/>
        <v>0</v>
      </c>
      <c r="H135" s="488">
        <f t="shared" si="91"/>
        <v>0</v>
      </c>
      <c r="I135" s="427">
        <f t="shared" si="92"/>
        <v>0</v>
      </c>
      <c r="J135" s="488">
        <f t="shared" si="81"/>
        <v>0</v>
      </c>
      <c r="K135" s="488">
        <f t="shared" si="82"/>
        <v>0</v>
      </c>
      <c r="L135" s="427">
        <f t="shared" si="93"/>
        <v>0</v>
      </c>
      <c r="M135" s="488">
        <f t="shared" si="83"/>
        <v>0</v>
      </c>
      <c r="N135" s="488">
        <f t="shared" si="84"/>
        <v>0</v>
      </c>
      <c r="O135" s="427">
        <f t="shared" si="94"/>
        <v>0</v>
      </c>
      <c r="P135" s="488">
        <f t="shared" si="85"/>
        <v>0</v>
      </c>
      <c r="Q135" s="489">
        <f t="shared" si="86"/>
        <v>0</v>
      </c>
      <c r="R135" s="429">
        <f t="shared" si="95"/>
        <v>0</v>
      </c>
    </row>
    <row r="136" spans="1:18" ht="15.75" thickBot="1" x14ac:dyDescent="0.3">
      <c r="A136" s="740"/>
      <c r="B136" s="742"/>
      <c r="C136" s="490" t="s">
        <v>34</v>
      </c>
      <c r="D136" s="491">
        <f t="shared" si="87"/>
        <v>0</v>
      </c>
      <c r="E136" s="492">
        <f t="shared" si="88"/>
        <v>0</v>
      </c>
      <c r="F136" s="493">
        <f t="shared" si="89"/>
        <v>0</v>
      </c>
      <c r="G136" s="494">
        <f t="shared" si="90"/>
        <v>0</v>
      </c>
      <c r="H136" s="495">
        <f t="shared" si="91"/>
        <v>0</v>
      </c>
      <c r="I136" s="436">
        <f t="shared" si="92"/>
        <v>0</v>
      </c>
      <c r="J136" s="495">
        <f t="shared" si="81"/>
        <v>0</v>
      </c>
      <c r="K136" s="495">
        <f t="shared" si="82"/>
        <v>0</v>
      </c>
      <c r="L136" s="436">
        <f t="shared" si="93"/>
        <v>0</v>
      </c>
      <c r="M136" s="495">
        <f t="shared" si="83"/>
        <v>0</v>
      </c>
      <c r="N136" s="495">
        <f t="shared" si="84"/>
        <v>0</v>
      </c>
      <c r="O136" s="436">
        <f t="shared" si="94"/>
        <v>0</v>
      </c>
      <c r="P136" s="495">
        <f t="shared" si="85"/>
        <v>0</v>
      </c>
      <c r="Q136" s="496">
        <f t="shared" si="86"/>
        <v>0</v>
      </c>
      <c r="R136" s="438">
        <f t="shared" si="95"/>
        <v>0</v>
      </c>
    </row>
  </sheetData>
  <sheetProtection insertColumns="0" deleteColumns="0"/>
  <mergeCells count="43">
    <mergeCell ref="M2:O2"/>
    <mergeCell ref="P2:R2"/>
    <mergeCell ref="M3:O3"/>
    <mergeCell ref="P3:R3"/>
    <mergeCell ref="G4:I4"/>
    <mergeCell ref="J4:L4"/>
    <mergeCell ref="M4:O4"/>
    <mergeCell ref="P4:R4"/>
    <mergeCell ref="M1:O1"/>
    <mergeCell ref="P1:R1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A26:A35"/>
    <mergeCell ref="B26:B35"/>
    <mergeCell ref="A36:A45"/>
    <mergeCell ref="B36:B45"/>
    <mergeCell ref="A56:A65"/>
    <mergeCell ref="B56:B65"/>
    <mergeCell ref="A46:A55"/>
    <mergeCell ref="B46:B55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M44"/>
  <sheetViews>
    <sheetView view="pageBreakPreview" zoomScale="60" zoomScaleNormal="85" workbookViewId="0">
      <selection activeCell="B22" sqref="B22"/>
    </sheetView>
  </sheetViews>
  <sheetFormatPr defaultColWidth="8.85546875" defaultRowHeight="15" outlineLevelCol="1" x14ac:dyDescent="0.25"/>
  <cols>
    <col min="2" max="2" width="54.140625" customWidth="1"/>
    <col min="3" max="3" width="18.85546875" customWidth="1"/>
    <col min="4" max="13" width="16" customWidth="1" outlineLevel="1"/>
  </cols>
  <sheetData>
    <row r="1" spans="1:13" ht="21" x14ac:dyDescent="0.35">
      <c r="A1" s="104" t="s">
        <v>104</v>
      </c>
      <c r="B1" s="105"/>
      <c r="D1" s="93"/>
      <c r="E1" s="91"/>
      <c r="F1" s="91"/>
      <c r="G1" s="91"/>
      <c r="H1" s="91"/>
      <c r="I1" s="91"/>
      <c r="J1" s="91"/>
      <c r="K1" s="91"/>
      <c r="L1" s="91"/>
      <c r="M1" s="87"/>
    </row>
    <row r="2" spans="1:13" ht="15.75" x14ac:dyDescent="0.25">
      <c r="A2" s="106"/>
      <c r="B2" s="92"/>
      <c r="D2" s="89"/>
      <c r="E2" s="89"/>
      <c r="F2" s="89"/>
      <c r="G2" s="89"/>
      <c r="H2" s="89"/>
      <c r="I2" s="89"/>
      <c r="J2" s="89"/>
      <c r="K2" s="89"/>
      <c r="L2" s="89"/>
      <c r="M2" s="83"/>
    </row>
    <row r="3" spans="1:13" ht="15.75" x14ac:dyDescent="0.25">
      <c r="A3" s="223" t="s">
        <v>205</v>
      </c>
      <c r="B3" s="9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x14ac:dyDescent="0.25"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5.75" thickBot="1" x14ac:dyDescent="0.3">
      <c r="A5" s="93"/>
      <c r="B5" s="94"/>
      <c r="C5" s="88"/>
      <c r="D5" s="744" t="s">
        <v>105</v>
      </c>
      <c r="E5" s="744"/>
      <c r="F5" s="744"/>
      <c r="G5" s="744"/>
      <c r="H5" s="744"/>
      <c r="I5" s="744"/>
      <c r="J5" s="744"/>
      <c r="K5" s="744"/>
      <c r="L5" s="744"/>
      <c r="M5" s="744"/>
    </row>
    <row r="6" spans="1:13" x14ac:dyDescent="0.25">
      <c r="A6" s="220"/>
      <c r="B6" s="217" t="s">
        <v>180</v>
      </c>
      <c r="C6" s="98" t="s">
        <v>109</v>
      </c>
      <c r="D6" s="112" t="s">
        <v>25</v>
      </c>
      <c r="E6" s="113" t="s">
        <v>26</v>
      </c>
      <c r="F6" s="113" t="s">
        <v>27</v>
      </c>
      <c r="G6" s="113" t="s">
        <v>28</v>
      </c>
      <c r="H6" s="113" t="s">
        <v>29</v>
      </c>
      <c r="I6" s="113" t="s">
        <v>30</v>
      </c>
      <c r="J6" s="113" t="s">
        <v>31</v>
      </c>
      <c r="K6" s="113" t="s">
        <v>32</v>
      </c>
      <c r="L6" s="113" t="s">
        <v>33</v>
      </c>
      <c r="M6" s="114" t="s">
        <v>34</v>
      </c>
    </row>
    <row r="7" spans="1:13" x14ac:dyDescent="0.25">
      <c r="A7" s="221"/>
      <c r="B7" s="218" t="s">
        <v>112</v>
      </c>
      <c r="C7" s="99">
        <f t="shared" ref="C7:C14" si="0">SUM(D7:M7)</f>
        <v>0</v>
      </c>
      <c r="D7" s="115">
        <f>'TCO TO BE- SW'!$E5+'TCO TO BE- SW'!$E15</f>
        <v>0</v>
      </c>
      <c r="E7" s="96">
        <f>'TCO TO BE- SW'!$E6+'TCO TO BE- SW'!$E16</f>
        <v>0</v>
      </c>
      <c r="F7" s="96">
        <f>'TCO TO BE- SW'!$E7+'TCO TO BE- SW'!$E17</f>
        <v>0</v>
      </c>
      <c r="G7" s="96">
        <f>'TCO TO BE- SW'!$E8+'TCO TO BE- SW'!$E18</f>
        <v>0</v>
      </c>
      <c r="H7" s="96">
        <f>'TCO TO BE- SW'!$E9+'TCO TO BE- SW'!$E19</f>
        <v>0</v>
      </c>
      <c r="I7" s="96">
        <f>'TCO TO BE- SW'!$E10+'TCO TO BE- SW'!$E20</f>
        <v>0</v>
      </c>
      <c r="J7" s="96">
        <f>'TCO TO BE- SW'!$E11+'TCO TO BE- SW'!$E21</f>
        <v>0</v>
      </c>
      <c r="K7" s="96">
        <f>'TCO TO BE- SW'!$E12+'TCO TO BE- SW'!$E22</f>
        <v>0</v>
      </c>
      <c r="L7" s="96">
        <f>'TCO TO BE- SW'!$E13+'TCO TO BE- SW'!$E23</f>
        <v>0</v>
      </c>
      <c r="M7" s="116">
        <f>'TCO TO BE- SW'!$E14+'TCO TO BE- SW'!$E24</f>
        <v>0</v>
      </c>
    </row>
    <row r="8" spans="1:13" x14ac:dyDescent="0.25">
      <c r="A8" s="221"/>
      <c r="B8" s="218" t="s">
        <v>113</v>
      </c>
      <c r="C8" s="99">
        <f t="shared" si="0"/>
        <v>74000000</v>
      </c>
      <c r="D8" s="115">
        <f>'TCO TO BE- SW'!$E58+'TCO TO BE- SW'!$E68</f>
        <v>9000000</v>
      </c>
      <c r="E8" s="96">
        <f>'TCO TO BE- SW'!$E59+'TCO TO BE- SW'!$E69</f>
        <v>9000000</v>
      </c>
      <c r="F8" s="96">
        <f>'TCO TO BE- SW'!$E60+'TCO TO BE- SW'!$E70</f>
        <v>7000000</v>
      </c>
      <c r="G8" s="96">
        <f>'TCO TO BE- SW'!$E61+'TCO TO BE- SW'!$E71</f>
        <v>7000000</v>
      </c>
      <c r="H8" s="96">
        <f>'TCO TO BE- SW'!$E62+'TCO TO BE- SW'!$E72</f>
        <v>7000000</v>
      </c>
      <c r="I8" s="96">
        <f>'TCO TO BE- SW'!$E63+'TCO TO BE- SW'!$E73</f>
        <v>7000000</v>
      </c>
      <c r="J8" s="96">
        <f>'TCO TO BE- SW'!$E64+'TCO TO BE- SW'!$E74</f>
        <v>7000000</v>
      </c>
      <c r="K8" s="96">
        <f>'TCO TO BE- SW'!$E65+'TCO TO BE- SW'!$E75</f>
        <v>7000000</v>
      </c>
      <c r="L8" s="96">
        <f>'TCO TO BE- SW'!$E66+'TCO TO BE- SW'!$E76</f>
        <v>7000000</v>
      </c>
      <c r="M8" s="116">
        <f>'TCO TO BE- SW'!$E67+'TCO TO BE- SW'!$E77</f>
        <v>7000000</v>
      </c>
    </row>
    <row r="9" spans="1:13" x14ac:dyDescent="0.25">
      <c r="A9" s="221"/>
      <c r="B9" s="218" t="s">
        <v>114</v>
      </c>
      <c r="C9" s="99">
        <f t="shared" si="0"/>
        <v>10111280</v>
      </c>
      <c r="D9" s="115">
        <f>'TCO TO BE- SW'!$E26+'TCO TO BE- SW'!$E36+'TCO TO BE- SW'!$E46</f>
        <v>7153780</v>
      </c>
      <c r="E9" s="96">
        <f>'TCO TO BE- SW'!$E27+'TCO TO BE- SW'!$E37+'TCO TO BE- SW'!$E47</f>
        <v>2957500</v>
      </c>
      <c r="F9" s="96">
        <f>'TCO TO BE- SW'!$E28+'TCO TO BE- SW'!$E38+'TCO TO BE- SW'!$E48</f>
        <v>0</v>
      </c>
      <c r="G9" s="96">
        <f>'TCO TO BE- SW'!$E29+'TCO TO BE- SW'!$E39+'TCO TO BE- SW'!$E49</f>
        <v>0</v>
      </c>
      <c r="H9" s="96">
        <f>'TCO TO BE- SW'!$E30+'TCO TO BE- SW'!$E40+'TCO TO BE- SW'!$E50</f>
        <v>0</v>
      </c>
      <c r="I9" s="96">
        <f>'TCO TO BE- SW'!$E31+'TCO TO BE- SW'!$E41+'TCO TO BE- SW'!$E51</f>
        <v>0</v>
      </c>
      <c r="J9" s="96">
        <f>'TCO TO BE- SW'!$E32+'TCO TO BE- SW'!$E42+'TCO TO BE- SW'!$E52</f>
        <v>0</v>
      </c>
      <c r="K9" s="96">
        <f>'TCO TO BE- SW'!$E33+'TCO TO BE- SW'!$E43+'TCO TO BE- SW'!$E53</f>
        <v>0</v>
      </c>
      <c r="L9" s="96">
        <f>'TCO TO BE- SW'!$E34+'TCO TO BE- SW'!$E44+'TCO TO BE- SW'!$E54</f>
        <v>0</v>
      </c>
      <c r="M9" s="116">
        <f>'TCO TO BE- SW'!$E35+'TCO TO BE- SW'!$E45+'TCO TO BE- SW'!$E55</f>
        <v>0</v>
      </c>
    </row>
    <row r="10" spans="1:13" x14ac:dyDescent="0.25">
      <c r="A10" s="221"/>
      <c r="B10" s="218" t="s">
        <v>115</v>
      </c>
      <c r="C10" s="99">
        <f t="shared" si="0"/>
        <v>31299776</v>
      </c>
      <c r="D10" s="115">
        <f>'TCO TO BE- SW'!$E79+'TCO TO BE- SW'!$E89+'TCO TO BE- SW'!$E99+'TCO TO BE- SW'!$E109+'TCO TO BE- SW'!$E119</f>
        <v>1492944</v>
      </c>
      <c r="E10" s="96">
        <f>'TCO TO BE- SW'!$E80+'TCO TO BE- SW'!$E90+'TCO TO BE- SW'!$E100+'TCO TO BE- SW'!$E110+'TCO TO BE- SW'!$E120</f>
        <v>1492944</v>
      </c>
      <c r="F10" s="96">
        <f>'TCO TO BE- SW'!$E81+'TCO TO BE- SW'!$E91+'TCO TO BE- SW'!$E101+'TCO TO BE- SW'!$E111+'TCO TO BE- SW'!$E121</f>
        <v>3539236</v>
      </c>
      <c r="G10" s="96">
        <f>'TCO TO BE- SW'!$E82+'TCO TO BE- SW'!$E92+'TCO TO BE- SW'!$E102+'TCO TO BE- SW'!$E112+'TCO TO BE- SW'!$E122</f>
        <v>3539236</v>
      </c>
      <c r="H10" s="96">
        <f>'TCO TO BE- SW'!$E83+'TCO TO BE- SW'!$E93+'TCO TO BE- SW'!$E103+'TCO TO BE- SW'!$E113+'TCO TO BE- SW'!$E123</f>
        <v>3539236</v>
      </c>
      <c r="I10" s="96">
        <f>'TCO TO BE- SW'!$E84+'TCO TO BE- SW'!$E94+'TCO TO BE- SW'!$E104+'TCO TO BE- SW'!$E114+'TCO TO BE- SW'!$E124</f>
        <v>3539236</v>
      </c>
      <c r="J10" s="96">
        <f>'TCO TO BE- SW'!$E85+'TCO TO BE- SW'!$E95+'TCO TO BE- SW'!$E105+'TCO TO BE- SW'!$E115+'TCO TO BE- SW'!$E125</f>
        <v>3539236</v>
      </c>
      <c r="K10" s="96">
        <f>'TCO TO BE- SW'!$E86+'TCO TO BE- SW'!$E96+'TCO TO BE- SW'!$E106+'TCO TO BE- SW'!$E116+'TCO TO BE- SW'!$E126</f>
        <v>3539236</v>
      </c>
      <c r="L10" s="96">
        <f>'TCO TO BE- SW'!$E87+'TCO TO BE- SW'!$E97+'TCO TO BE- SW'!$E107+'TCO TO BE- SW'!$E117+'TCO TO BE- SW'!$E127</f>
        <v>3539236</v>
      </c>
      <c r="M10" s="116">
        <f>'TCO TO BE- SW'!$E88+'TCO TO BE- SW'!$E98+'TCO TO BE- SW'!$E108+'TCO TO BE- SW'!$E118+'TCO TO BE- SW'!$E128</f>
        <v>3539236</v>
      </c>
    </row>
    <row r="11" spans="1:13" x14ac:dyDescent="0.25">
      <c r="A11" s="221"/>
      <c r="B11" s="218" t="s">
        <v>372</v>
      </c>
      <c r="C11" s="99">
        <f t="shared" si="0"/>
        <v>0</v>
      </c>
      <c r="D11" s="115">
        <f>'TCO TO BE- SW'!E151+'TCO TO BE- SW'!E161</f>
        <v>0</v>
      </c>
      <c r="E11" s="96">
        <f>'TCO TO BE- SW'!E152+'TCO TO BE- SW'!E162</f>
        <v>0</v>
      </c>
      <c r="F11" s="96">
        <f>'TCO TO BE- SW'!E153+'TCO TO BE- SW'!E163</f>
        <v>0</v>
      </c>
      <c r="G11" s="96">
        <f>'TCO TO BE- SW'!E154+'TCO TO BE- SW'!E164</f>
        <v>0</v>
      </c>
      <c r="H11" s="96">
        <f>'TCO TO BE- SW'!E155+'TCO TO BE- SW'!E165</f>
        <v>0</v>
      </c>
      <c r="I11" s="96">
        <f>'TCO TO BE- SW'!E156+'TCO TO BE- SW'!E166</f>
        <v>0</v>
      </c>
      <c r="J11" s="96">
        <f>'TCO TO BE- SW'!E157+'TCO TO BE- SW'!E167</f>
        <v>0</v>
      </c>
      <c r="K11" s="96">
        <f>'TCO TO BE- SW'!E158+'TCO TO BE- SW'!E168</f>
        <v>0</v>
      </c>
      <c r="L11" s="96">
        <f>'TCO TO BE- SW'!E159+'TCO TO BE- SW'!E169</f>
        <v>0</v>
      </c>
      <c r="M11" s="116">
        <f>'TCO TO BE- SW'!E160+'TCO TO BE- SW'!E170</f>
        <v>0</v>
      </c>
    </row>
    <row r="12" spans="1:13" x14ac:dyDescent="0.25">
      <c r="A12" s="221"/>
      <c r="B12" s="218" t="s">
        <v>106</v>
      </c>
      <c r="C12" s="99">
        <f t="shared" si="0"/>
        <v>8600000</v>
      </c>
      <c r="D12" s="115">
        <f>'TCO TO BE - HW'!$E4+'TCO TO BE - HW'!$E14+'TCO TO BE - HW'!$E24</f>
        <v>8600000</v>
      </c>
      <c r="E12" s="96">
        <f>'TCO TO BE - HW'!$E5+'TCO TO BE - HW'!$E15+'TCO TO BE - HW'!$E25</f>
        <v>0</v>
      </c>
      <c r="F12" s="96">
        <f>'TCO TO BE - HW'!$E6+'TCO TO BE - HW'!$E16+'TCO TO BE - HW'!$E26</f>
        <v>0</v>
      </c>
      <c r="G12" s="96">
        <f>'TCO TO BE - HW'!$E7+'TCO TO BE - HW'!$E17+'TCO TO BE - HW'!$E27</f>
        <v>0</v>
      </c>
      <c r="H12" s="96">
        <f>'TCO TO BE - HW'!$E8+'TCO TO BE - HW'!$E18+'TCO TO BE - HW'!$E28</f>
        <v>0</v>
      </c>
      <c r="I12" s="96">
        <f>'TCO TO BE - HW'!$E9+'TCO TO BE - HW'!$E19+'TCO TO BE - HW'!$E29</f>
        <v>0</v>
      </c>
      <c r="J12" s="96">
        <f>'TCO TO BE - HW'!$E10+'TCO TO BE - HW'!$E20+'TCO TO BE - HW'!$E30</f>
        <v>0</v>
      </c>
      <c r="K12" s="96">
        <f>'TCO TO BE - HW'!$E11+'TCO TO BE - HW'!$E21+'TCO TO BE - HW'!$E31</f>
        <v>0</v>
      </c>
      <c r="L12" s="96">
        <f>'TCO TO BE - HW'!$E12+'TCO TO BE - HW'!$E22+'TCO TO BE - HW'!$E32</f>
        <v>0</v>
      </c>
      <c r="M12" s="116">
        <f>'TCO TO BE - HW'!$E13+'TCO TO BE - HW'!$E23+'TCO TO BE - HW'!$E33</f>
        <v>0</v>
      </c>
    </row>
    <row r="13" spans="1:13" x14ac:dyDescent="0.25">
      <c r="A13" s="221"/>
      <c r="B13" s="218" t="s">
        <v>107</v>
      </c>
      <c r="C13" s="99">
        <f t="shared" si="0"/>
        <v>38300000</v>
      </c>
      <c r="D13" s="115">
        <f>'TCO TO BE - HW'!$E35+'TCO TO BE - HW'!$E45+'TCO TO BE - HW'!$E55+'TCO TO BE - HW'!$E65+'TCO TO BE - HW'!$E75</f>
        <v>1300000</v>
      </c>
      <c r="E13" s="96">
        <f>'TCO TO BE - HW'!$E36+'TCO TO BE - HW'!$E46+'TCO TO BE - HW'!$E56+'TCO TO BE - HW'!$E66+'TCO TO BE - HW'!$E76</f>
        <v>2380000</v>
      </c>
      <c r="F13" s="96">
        <f>'TCO TO BE - HW'!$E37+'TCO TO BE - HW'!$E47+'TCO TO BE - HW'!$E57+'TCO TO BE - HW'!$E67+'TCO TO BE - HW'!$E77</f>
        <v>2380000</v>
      </c>
      <c r="G13" s="96">
        <f>'TCO TO BE - HW'!$E38+'TCO TO BE - HW'!$E48+'TCO TO BE - HW'!$E58+'TCO TO BE - HW'!$E68+'TCO TO BE - HW'!$E78</f>
        <v>3680000</v>
      </c>
      <c r="H13" s="96">
        <f>'TCO TO BE - HW'!$E39+'TCO TO BE - HW'!$E49+'TCO TO BE - HW'!$E59+'TCO TO BE - HW'!$E69+'TCO TO BE - HW'!$E79</f>
        <v>4760000</v>
      </c>
      <c r="I13" s="96">
        <f>'TCO TO BE - HW'!$E40+'TCO TO BE - HW'!$E50+'TCO TO BE - HW'!$E60+'TCO TO BE - HW'!$E70+'TCO TO BE - HW'!$E80</f>
        <v>4760000</v>
      </c>
      <c r="J13" s="96">
        <f>'TCO TO BE - HW'!$E41+'TCO TO BE - HW'!$E51+'TCO TO BE - HW'!$E61+'TCO TO BE - HW'!$E71+'TCO TO BE - HW'!$E81</f>
        <v>4760000</v>
      </c>
      <c r="K13" s="96">
        <f>'TCO TO BE - HW'!$E42+'TCO TO BE - HW'!$E52+'TCO TO BE - HW'!$E62+'TCO TO BE - HW'!$E72+'TCO TO BE - HW'!$E82</f>
        <v>4760000</v>
      </c>
      <c r="L13" s="96">
        <f>'TCO TO BE - HW'!$E43+'TCO TO BE - HW'!$E53+'TCO TO BE - HW'!$E63+'TCO TO BE - HW'!$E73+'TCO TO BE - HW'!$E83</f>
        <v>4760000</v>
      </c>
      <c r="M13" s="116">
        <f>'TCO TO BE - HW'!$E44+'TCO TO BE - HW'!$E54+'TCO TO BE - HW'!$E64+'TCO TO BE - HW'!$E74+'TCO TO BE - HW'!$E84</f>
        <v>4760000</v>
      </c>
    </row>
    <row r="14" spans="1:13" ht="15.75" thickBot="1" x14ac:dyDescent="0.3">
      <c r="A14" s="221"/>
      <c r="B14" s="525" t="s">
        <v>336</v>
      </c>
      <c r="C14" s="526">
        <f t="shared" si="0"/>
        <v>0</v>
      </c>
      <c r="D14" s="531">
        <f>'TCO TO BE- SW'!E130+'TCO TO BE- SW'!E140</f>
        <v>0</v>
      </c>
      <c r="E14" s="532">
        <f>'TCO TO BE- SW'!E131+'TCO TO BE- SW'!E141</f>
        <v>0</v>
      </c>
      <c r="F14" s="532">
        <f>'TCO TO BE- SW'!E132+'TCO TO BE- SW'!E142</f>
        <v>0</v>
      </c>
      <c r="G14" s="532">
        <f>'TCO TO BE- SW'!E133+'TCO TO BE- SW'!E143</f>
        <v>0</v>
      </c>
      <c r="H14" s="532">
        <f>'TCO TO BE- SW'!E134+'TCO TO BE- SW'!E144</f>
        <v>0</v>
      </c>
      <c r="I14" s="532">
        <f>'TCO TO BE- SW'!E135+'TCO TO BE- SW'!E145</f>
        <v>0</v>
      </c>
      <c r="J14" s="532">
        <f>'TCO TO BE- SW'!E136+'TCO TO BE- SW'!E146</f>
        <v>0</v>
      </c>
      <c r="K14" s="532">
        <f>'TCO TO BE- SW'!E137+'TCO TO BE- SW'!E147</f>
        <v>0</v>
      </c>
      <c r="L14" s="532">
        <f>'TCO TO BE- SW'!E138+'TCO TO BE- SW'!E148</f>
        <v>0</v>
      </c>
      <c r="M14" s="533">
        <f>'TCO TO BE- SW'!E139+'TCO TO BE- SW'!E149</f>
        <v>0</v>
      </c>
    </row>
    <row r="15" spans="1:13" ht="15.75" thickBot="1" x14ac:dyDescent="0.3">
      <c r="A15" s="222"/>
      <c r="B15" s="219" t="s">
        <v>108</v>
      </c>
      <c r="C15" s="101">
        <f>SUM(C7:C14)</f>
        <v>162311056</v>
      </c>
      <c r="D15" s="97">
        <f>SUM(D7:D13)</f>
        <v>27546724</v>
      </c>
      <c r="E15" s="86">
        <f t="shared" ref="E15:M15" si="1">SUM(E7:E13)</f>
        <v>15830444</v>
      </c>
      <c r="F15" s="86">
        <f t="shared" si="1"/>
        <v>12919236</v>
      </c>
      <c r="G15" s="86">
        <f t="shared" si="1"/>
        <v>14219236</v>
      </c>
      <c r="H15" s="86">
        <f t="shared" si="1"/>
        <v>15299236</v>
      </c>
      <c r="I15" s="86">
        <f t="shared" si="1"/>
        <v>15299236</v>
      </c>
      <c r="J15" s="86">
        <f t="shared" si="1"/>
        <v>15299236</v>
      </c>
      <c r="K15" s="86">
        <f t="shared" si="1"/>
        <v>15299236</v>
      </c>
      <c r="L15" s="103">
        <f t="shared" si="1"/>
        <v>15299236</v>
      </c>
      <c r="M15" s="102">
        <f t="shared" si="1"/>
        <v>15299236</v>
      </c>
    </row>
    <row r="16" spans="1:13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2.25" customHeight="1" x14ac:dyDescent="0.25">
      <c r="A18" s="745" t="s">
        <v>120</v>
      </c>
      <c r="B18" s="745"/>
      <c r="C18" s="745"/>
      <c r="D18" s="90"/>
      <c r="E18" s="89"/>
      <c r="F18" s="89"/>
      <c r="G18" s="89"/>
      <c r="H18" s="89"/>
      <c r="I18" s="89"/>
      <c r="J18" s="89"/>
      <c r="K18" s="89"/>
      <c r="L18" s="89"/>
      <c r="M18" s="83"/>
    </row>
    <row r="19" spans="1:13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5.75" thickBot="1" x14ac:dyDescent="0.3">
      <c r="A20" s="93"/>
      <c r="B20" s="94"/>
      <c r="C20" s="88"/>
      <c r="D20" s="744" t="s">
        <v>105</v>
      </c>
      <c r="E20" s="744"/>
      <c r="F20" s="744"/>
      <c r="G20" s="744"/>
      <c r="H20" s="744"/>
      <c r="I20" s="744"/>
      <c r="J20" s="744"/>
      <c r="K20" s="744"/>
      <c r="L20" s="744"/>
      <c r="M20" s="744"/>
    </row>
    <row r="21" spans="1:13" ht="17.100000000000001" customHeight="1" x14ac:dyDescent="0.25">
      <c r="A21" s="220"/>
      <c r="B21" s="216" t="s">
        <v>243</v>
      </c>
      <c r="C21" s="98" t="s">
        <v>109</v>
      </c>
      <c r="D21" s="112" t="s">
        <v>25</v>
      </c>
      <c r="E21" s="113" t="s">
        <v>26</v>
      </c>
      <c r="F21" s="113" t="s">
        <v>27</v>
      </c>
      <c r="G21" s="113" t="s">
        <v>28</v>
      </c>
      <c r="H21" s="113" t="s">
        <v>29</v>
      </c>
      <c r="I21" s="113" t="s">
        <v>30</v>
      </c>
      <c r="J21" s="113" t="s">
        <v>31</v>
      </c>
      <c r="K21" s="113" t="s">
        <v>32</v>
      </c>
      <c r="L21" s="113" t="s">
        <v>33</v>
      </c>
      <c r="M21" s="114" t="s">
        <v>34</v>
      </c>
    </row>
    <row r="22" spans="1:13" ht="15" customHeight="1" x14ac:dyDescent="0.25">
      <c r="A22" s="221"/>
      <c r="B22" s="110" t="s">
        <v>112</v>
      </c>
      <c r="C22" s="99">
        <v>0</v>
      </c>
      <c r="D22" s="11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3" ht="17.25" customHeight="1" x14ac:dyDescent="0.25">
      <c r="A23" s="221"/>
      <c r="B23" s="110" t="s">
        <v>113</v>
      </c>
      <c r="C23" s="99">
        <f>SUM(D23:M23)</f>
        <v>0</v>
      </c>
      <c r="D23" s="115">
        <f>'TCO AS IS - SW'!E5+'TCO AS IS - SW'!E15</f>
        <v>0</v>
      </c>
      <c r="E23" s="96">
        <f>'TCO AS IS - SW'!E6+'TCO AS IS - SW'!E16</f>
        <v>0</v>
      </c>
      <c r="F23" s="96">
        <f>'TCO AS IS - SW'!E7+'TCO AS IS - SW'!E17</f>
        <v>0</v>
      </c>
      <c r="G23" s="96">
        <f>'TCO AS IS - SW'!E8+'TCO AS IS - SW'!E18</f>
        <v>0</v>
      </c>
      <c r="H23" s="96">
        <f>'TCO AS IS - SW'!E9+'TCO AS IS - SW'!E19</f>
        <v>0</v>
      </c>
      <c r="I23" s="96">
        <f>'TCO AS IS - SW'!E10+'TCO AS IS - SW'!E20</f>
        <v>0</v>
      </c>
      <c r="J23" s="96">
        <f>'TCO AS IS - SW'!E11+'TCO AS IS - SW'!E21</f>
        <v>0</v>
      </c>
      <c r="K23" s="96">
        <f>'TCO AS IS - SW'!E12+'TCO AS IS - SW'!E22</f>
        <v>0</v>
      </c>
      <c r="L23" s="96">
        <f>'TCO AS IS - SW'!E13+'TCO AS IS - SW'!E23</f>
        <v>0</v>
      </c>
      <c r="M23" s="116">
        <f>'TCO AS IS - SW'!E14+'TCO AS IS - SW'!E24</f>
        <v>0</v>
      </c>
    </row>
    <row r="24" spans="1:13" x14ac:dyDescent="0.25">
      <c r="A24" s="221"/>
      <c r="B24" s="110" t="s">
        <v>114</v>
      </c>
      <c r="C24" s="99">
        <v>0</v>
      </c>
      <c r="D24" s="115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116">
        <v>0</v>
      </c>
    </row>
    <row r="25" spans="1:13" x14ac:dyDescent="0.25">
      <c r="A25" s="221"/>
      <c r="B25" s="110" t="s">
        <v>115</v>
      </c>
      <c r="C25" s="99">
        <f>SUM(D25:M25)</f>
        <v>0</v>
      </c>
      <c r="D25" s="115">
        <f>'TCO AS IS - SW'!E26+'TCO AS IS - SW'!E36+'TCO AS IS - SW'!E46+'TCO AS IS - SW'!E56+'TCO AS IS - SW'!E66</f>
        <v>0</v>
      </c>
      <c r="E25" s="96">
        <f>'TCO AS IS - SW'!E27+'TCO AS IS - SW'!E37+'TCO AS IS - SW'!E47+'TCO AS IS - SW'!E57+'TCO AS IS - SW'!E67</f>
        <v>0</v>
      </c>
      <c r="F25" s="96">
        <f>'TCO AS IS - SW'!E28+'TCO AS IS - SW'!E38+'TCO AS IS - SW'!E48+'TCO AS IS - SW'!E58+'TCO AS IS - SW'!E68</f>
        <v>0</v>
      </c>
      <c r="G25" s="96">
        <f>'TCO AS IS - SW'!E29+'TCO AS IS - SW'!E39+'TCO AS IS - SW'!E49+'TCO AS IS - SW'!E59+'TCO AS IS - SW'!E69</f>
        <v>0</v>
      </c>
      <c r="H25" s="96">
        <f>'TCO AS IS - SW'!E30+'TCO AS IS - SW'!E40+'TCO AS IS - SW'!E50+'TCO AS IS - SW'!E60+'TCO AS IS - SW'!E70</f>
        <v>0</v>
      </c>
      <c r="I25" s="96">
        <f>'TCO AS IS - SW'!E31+'TCO AS IS - SW'!E41+'TCO AS IS - SW'!E51+'TCO AS IS - SW'!E61+'TCO AS IS - SW'!E71</f>
        <v>0</v>
      </c>
      <c r="J25" s="96">
        <f>'TCO AS IS - SW'!E32+'TCO AS IS - SW'!E42+'TCO AS IS - SW'!E52+'TCO AS IS - SW'!E62+'TCO AS IS - SW'!E72</f>
        <v>0</v>
      </c>
      <c r="K25" s="96">
        <f>'TCO AS IS - SW'!E33+'TCO AS IS - SW'!E43+'TCO AS IS - SW'!E53+'TCO AS IS - SW'!E63+'TCO AS IS - SW'!E73</f>
        <v>0</v>
      </c>
      <c r="L25" s="96">
        <f>'TCO AS IS - SW'!E34+'TCO AS IS - SW'!E44+'TCO AS IS - SW'!E54+'TCO AS IS - SW'!E64+'TCO AS IS - SW'!E74</f>
        <v>0</v>
      </c>
      <c r="M25" s="116">
        <f>'TCO AS IS - SW'!E35+'TCO AS IS - SW'!E45+'TCO AS IS - SW'!E55+'TCO AS IS - SW'!E65+'TCO AS IS - SW'!E75</f>
        <v>0</v>
      </c>
    </row>
    <row r="26" spans="1:13" x14ac:dyDescent="0.25">
      <c r="A26" s="221"/>
      <c r="B26" s="110" t="s">
        <v>106</v>
      </c>
      <c r="C26" s="99">
        <v>0</v>
      </c>
      <c r="D26" s="11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16">
        <v>0</v>
      </c>
    </row>
    <row r="27" spans="1:13" ht="15.75" thickBot="1" x14ac:dyDescent="0.3">
      <c r="A27" s="221"/>
      <c r="B27" s="111" t="s">
        <v>107</v>
      </c>
      <c r="C27" s="100">
        <f>SUM(D27:M27)</f>
        <v>0</v>
      </c>
      <c r="D27" s="117">
        <f>'TCO AS IS - HW'!E4+'TCO AS IS - HW'!E14+'TCO AS IS - HW'!E24+'TCO AS IS - HW'!E34+'TCO AS IS - HW'!E44</f>
        <v>0</v>
      </c>
      <c r="E27" s="118">
        <f>'TCO AS IS - HW'!E5+'TCO AS IS - HW'!E15+'TCO AS IS - HW'!E25+'TCO AS IS - HW'!E35+'TCO AS IS - HW'!E45</f>
        <v>0</v>
      </c>
      <c r="F27" s="118">
        <f>'TCO AS IS - HW'!E6+'TCO AS IS - HW'!E16+'TCO AS IS - HW'!E26+'TCO AS IS - HW'!E36+'TCO AS IS - HW'!E46</f>
        <v>0</v>
      </c>
      <c r="G27" s="118">
        <f>'TCO AS IS - HW'!E7+'TCO AS IS - HW'!E17+'TCO AS IS - HW'!E27+'TCO AS IS - HW'!E37+'TCO AS IS - HW'!E47</f>
        <v>0</v>
      </c>
      <c r="H27" s="118">
        <f>'TCO AS IS - HW'!E8+'TCO AS IS - HW'!E18+'TCO AS IS - HW'!E28+'TCO AS IS - HW'!E38+'TCO AS IS - HW'!E48</f>
        <v>0</v>
      </c>
      <c r="I27" s="118">
        <f>'TCO AS IS - HW'!E9+'TCO AS IS - HW'!E19+'TCO AS IS - HW'!E29+'TCO AS IS - HW'!E39+'TCO AS IS - HW'!E49</f>
        <v>0</v>
      </c>
      <c r="J27" s="118">
        <f>'TCO AS IS - HW'!E10+'TCO AS IS - HW'!E20+'TCO AS IS - HW'!E30+'TCO AS IS - HW'!E40+'TCO AS IS - HW'!E50</f>
        <v>0</v>
      </c>
      <c r="K27" s="118">
        <f>'TCO AS IS - HW'!E11+'TCO AS IS - HW'!E21+'TCO AS IS - HW'!E31+'TCO AS IS - HW'!E41+'TCO AS IS - HW'!E51</f>
        <v>0</v>
      </c>
      <c r="L27" s="118">
        <f>'TCO AS IS - HW'!E12+'TCO AS IS - HW'!E22+'TCO AS IS - HW'!E32+'TCO AS IS - HW'!E42+'TCO AS IS - HW'!E52</f>
        <v>0</v>
      </c>
      <c r="M27" s="119">
        <f>'TCO AS IS - HW'!E13+'TCO AS IS - HW'!E23+'TCO AS IS - HW'!E33+'TCO AS IS - HW'!E43+'TCO AS IS - HW'!E53</f>
        <v>0</v>
      </c>
    </row>
    <row r="28" spans="1:13" ht="15.75" thickBot="1" x14ac:dyDescent="0.3">
      <c r="A28" s="222"/>
      <c r="B28" s="95" t="s">
        <v>108</v>
      </c>
      <c r="C28" s="101">
        <f t="shared" ref="C28:M28" si="2">SUM(C22:C27)</f>
        <v>0</v>
      </c>
      <c r="D28" s="97">
        <f t="shared" si="2"/>
        <v>0</v>
      </c>
      <c r="E28" s="86">
        <f t="shared" si="2"/>
        <v>0</v>
      </c>
      <c r="F28" s="86">
        <f t="shared" si="2"/>
        <v>0</v>
      </c>
      <c r="G28" s="86">
        <f t="shared" si="2"/>
        <v>0</v>
      </c>
      <c r="H28" s="86">
        <f t="shared" si="2"/>
        <v>0</v>
      </c>
      <c r="I28" s="86">
        <f t="shared" si="2"/>
        <v>0</v>
      </c>
      <c r="J28" s="86">
        <f t="shared" si="2"/>
        <v>0</v>
      </c>
      <c r="K28" s="86">
        <f t="shared" si="2"/>
        <v>0</v>
      </c>
      <c r="L28" s="103">
        <f t="shared" si="2"/>
        <v>0</v>
      </c>
      <c r="M28" s="102">
        <f t="shared" si="2"/>
        <v>0</v>
      </c>
    </row>
    <row r="29" spans="1:13" x14ac:dyDescent="0.25">
      <c r="A29" s="213"/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2" spans="1:13" ht="15.75" customHeight="1" x14ac:dyDescent="0.25">
      <c r="A32" s="745" t="s">
        <v>226</v>
      </c>
      <c r="B32" s="745"/>
      <c r="C32" s="745"/>
    </row>
    <row r="34" spans="1:13" ht="15.75" thickBot="1" x14ac:dyDescent="0.3"/>
    <row r="35" spans="1:13" x14ac:dyDescent="0.25">
      <c r="A35" s="220"/>
      <c r="B35" s="216" t="s">
        <v>165</v>
      </c>
      <c r="C35" s="163" t="s">
        <v>109</v>
      </c>
      <c r="D35" s="164" t="s">
        <v>25</v>
      </c>
      <c r="E35" s="165" t="s">
        <v>26</v>
      </c>
      <c r="F35" s="165" t="s">
        <v>27</v>
      </c>
      <c r="G35" s="165" t="s">
        <v>28</v>
      </c>
      <c r="H35" s="165" t="s">
        <v>29</v>
      </c>
      <c r="I35" s="165" t="s">
        <v>30</v>
      </c>
      <c r="J35" s="165" t="s">
        <v>31</v>
      </c>
      <c r="K35" s="165" t="s">
        <v>32</v>
      </c>
      <c r="L35" s="165" t="s">
        <v>33</v>
      </c>
      <c r="M35" s="166" t="s">
        <v>34</v>
      </c>
    </row>
    <row r="36" spans="1:13" x14ac:dyDescent="0.25">
      <c r="A36" s="221"/>
      <c r="B36" s="167" t="s">
        <v>112</v>
      </c>
      <c r="C36" s="168">
        <f>SUM(D36:M36)</f>
        <v>0</v>
      </c>
      <c r="D36" s="169">
        <f t="shared" ref="D36:M36" si="3">D7-D22</f>
        <v>0</v>
      </c>
      <c r="E36" s="170">
        <f t="shared" si="3"/>
        <v>0</v>
      </c>
      <c r="F36" s="170">
        <f t="shared" si="3"/>
        <v>0</v>
      </c>
      <c r="G36" s="170">
        <f t="shared" si="3"/>
        <v>0</v>
      </c>
      <c r="H36" s="170">
        <f t="shared" si="3"/>
        <v>0</v>
      </c>
      <c r="I36" s="170">
        <f t="shared" si="3"/>
        <v>0</v>
      </c>
      <c r="J36" s="170">
        <f t="shared" si="3"/>
        <v>0</v>
      </c>
      <c r="K36" s="170">
        <f t="shared" si="3"/>
        <v>0</v>
      </c>
      <c r="L36" s="170">
        <f t="shared" si="3"/>
        <v>0</v>
      </c>
      <c r="M36" s="180">
        <f t="shared" si="3"/>
        <v>0</v>
      </c>
    </row>
    <row r="37" spans="1:13" x14ac:dyDescent="0.25">
      <c r="A37" s="221"/>
      <c r="B37" s="172" t="s">
        <v>113</v>
      </c>
      <c r="C37" s="168">
        <f t="shared" ref="C37:C43" si="4">SUM(D37:M37)</f>
        <v>74000000</v>
      </c>
      <c r="D37" s="169">
        <f t="shared" ref="D37:M37" si="5">D8-D23</f>
        <v>9000000</v>
      </c>
      <c r="E37" s="170">
        <f t="shared" si="5"/>
        <v>9000000</v>
      </c>
      <c r="F37" s="170">
        <f t="shared" si="5"/>
        <v>7000000</v>
      </c>
      <c r="G37" s="170">
        <f t="shared" si="5"/>
        <v>7000000</v>
      </c>
      <c r="H37" s="170">
        <f t="shared" si="5"/>
        <v>7000000</v>
      </c>
      <c r="I37" s="170">
        <f t="shared" si="5"/>
        <v>7000000</v>
      </c>
      <c r="J37" s="170">
        <f t="shared" si="5"/>
        <v>7000000</v>
      </c>
      <c r="K37" s="170">
        <f t="shared" si="5"/>
        <v>7000000</v>
      </c>
      <c r="L37" s="181">
        <f t="shared" si="5"/>
        <v>7000000</v>
      </c>
      <c r="M37" s="171">
        <f t="shared" si="5"/>
        <v>7000000</v>
      </c>
    </row>
    <row r="38" spans="1:13" x14ac:dyDescent="0.25">
      <c r="A38" s="221"/>
      <c r="B38" s="167" t="s">
        <v>114</v>
      </c>
      <c r="C38" s="168">
        <f t="shared" si="4"/>
        <v>10111280</v>
      </c>
      <c r="D38" s="169">
        <f t="shared" ref="D38:M38" si="6">D9-D24</f>
        <v>7153780</v>
      </c>
      <c r="E38" s="170">
        <f t="shared" si="6"/>
        <v>2957500</v>
      </c>
      <c r="F38" s="170">
        <f t="shared" si="6"/>
        <v>0</v>
      </c>
      <c r="G38" s="170">
        <f t="shared" si="6"/>
        <v>0</v>
      </c>
      <c r="H38" s="170">
        <f t="shared" si="6"/>
        <v>0</v>
      </c>
      <c r="I38" s="170">
        <f t="shared" si="6"/>
        <v>0</v>
      </c>
      <c r="J38" s="170">
        <f t="shared" si="6"/>
        <v>0</v>
      </c>
      <c r="K38" s="170">
        <f t="shared" si="6"/>
        <v>0</v>
      </c>
      <c r="L38" s="181">
        <f t="shared" si="6"/>
        <v>0</v>
      </c>
      <c r="M38" s="171">
        <f t="shared" si="6"/>
        <v>0</v>
      </c>
    </row>
    <row r="39" spans="1:13" x14ac:dyDescent="0.25">
      <c r="A39" s="221"/>
      <c r="B39" s="110" t="s">
        <v>115</v>
      </c>
      <c r="C39" s="168">
        <f t="shared" si="4"/>
        <v>31299776</v>
      </c>
      <c r="D39" s="169">
        <f t="shared" ref="D39:M39" si="7">D10-D25</f>
        <v>1492944</v>
      </c>
      <c r="E39" s="170">
        <f t="shared" si="7"/>
        <v>1492944</v>
      </c>
      <c r="F39" s="170">
        <f t="shared" si="7"/>
        <v>3539236</v>
      </c>
      <c r="G39" s="170">
        <f t="shared" si="7"/>
        <v>3539236</v>
      </c>
      <c r="H39" s="170">
        <f t="shared" si="7"/>
        <v>3539236</v>
      </c>
      <c r="I39" s="170">
        <f t="shared" si="7"/>
        <v>3539236</v>
      </c>
      <c r="J39" s="170">
        <f t="shared" si="7"/>
        <v>3539236</v>
      </c>
      <c r="K39" s="170">
        <f t="shared" si="7"/>
        <v>3539236</v>
      </c>
      <c r="L39" s="181">
        <f t="shared" si="7"/>
        <v>3539236</v>
      </c>
      <c r="M39" s="171">
        <f t="shared" si="7"/>
        <v>3539236</v>
      </c>
    </row>
    <row r="40" spans="1:13" x14ac:dyDescent="0.25">
      <c r="A40" s="221"/>
      <c r="B40" s="110" t="s">
        <v>372</v>
      </c>
      <c r="C40" s="168">
        <f t="shared" si="4"/>
        <v>0</v>
      </c>
      <c r="D40" s="169">
        <f t="shared" ref="D40:M40" si="8">D11</f>
        <v>0</v>
      </c>
      <c r="E40" s="170">
        <f t="shared" si="8"/>
        <v>0</v>
      </c>
      <c r="F40" s="170">
        <f t="shared" si="8"/>
        <v>0</v>
      </c>
      <c r="G40" s="170">
        <f t="shared" si="8"/>
        <v>0</v>
      </c>
      <c r="H40" s="170">
        <f t="shared" si="8"/>
        <v>0</v>
      </c>
      <c r="I40" s="170">
        <f t="shared" si="8"/>
        <v>0</v>
      </c>
      <c r="J40" s="170">
        <f t="shared" si="8"/>
        <v>0</v>
      </c>
      <c r="K40" s="170">
        <f t="shared" si="8"/>
        <v>0</v>
      </c>
      <c r="L40" s="181">
        <f t="shared" si="8"/>
        <v>0</v>
      </c>
      <c r="M40" s="171">
        <f t="shared" si="8"/>
        <v>0</v>
      </c>
    </row>
    <row r="41" spans="1:13" x14ac:dyDescent="0.25">
      <c r="A41" s="221"/>
      <c r="B41" s="110" t="s">
        <v>167</v>
      </c>
      <c r="C41" s="168">
        <f t="shared" si="4"/>
        <v>8600000</v>
      </c>
      <c r="D41" s="169">
        <f t="shared" ref="D41:M41" si="9">D12-D26</f>
        <v>8600000</v>
      </c>
      <c r="E41" s="170">
        <f t="shared" si="9"/>
        <v>0</v>
      </c>
      <c r="F41" s="170">
        <f t="shared" si="9"/>
        <v>0</v>
      </c>
      <c r="G41" s="170">
        <f t="shared" si="9"/>
        <v>0</v>
      </c>
      <c r="H41" s="170">
        <f t="shared" si="9"/>
        <v>0</v>
      </c>
      <c r="I41" s="170">
        <f t="shared" si="9"/>
        <v>0</v>
      </c>
      <c r="J41" s="170">
        <f t="shared" si="9"/>
        <v>0</v>
      </c>
      <c r="K41" s="170">
        <f t="shared" si="9"/>
        <v>0</v>
      </c>
      <c r="L41" s="181">
        <f t="shared" si="9"/>
        <v>0</v>
      </c>
      <c r="M41" s="171">
        <f t="shared" si="9"/>
        <v>0</v>
      </c>
    </row>
    <row r="42" spans="1:13" x14ac:dyDescent="0.25">
      <c r="A42" s="221"/>
      <c r="B42" s="173" t="s">
        <v>168</v>
      </c>
      <c r="C42" s="174">
        <f t="shared" si="4"/>
        <v>38300000</v>
      </c>
      <c r="D42" s="169">
        <f t="shared" ref="D42:M42" si="10">D13-D27</f>
        <v>1300000</v>
      </c>
      <c r="E42" s="170">
        <f t="shared" si="10"/>
        <v>2380000</v>
      </c>
      <c r="F42" s="170">
        <f t="shared" si="10"/>
        <v>2380000</v>
      </c>
      <c r="G42" s="170">
        <f t="shared" si="10"/>
        <v>3680000</v>
      </c>
      <c r="H42" s="170">
        <f t="shared" si="10"/>
        <v>4760000</v>
      </c>
      <c r="I42" s="170">
        <f t="shared" si="10"/>
        <v>4760000</v>
      </c>
      <c r="J42" s="170">
        <f t="shared" si="10"/>
        <v>4760000</v>
      </c>
      <c r="K42" s="170">
        <f t="shared" si="10"/>
        <v>4760000</v>
      </c>
      <c r="L42" s="181">
        <f t="shared" si="10"/>
        <v>4760000</v>
      </c>
      <c r="M42" s="171">
        <f t="shared" si="10"/>
        <v>4760000</v>
      </c>
    </row>
    <row r="43" spans="1:13" ht="15.75" thickBot="1" x14ac:dyDescent="0.3">
      <c r="A43" s="221"/>
      <c r="B43" s="110" t="s">
        <v>336</v>
      </c>
      <c r="C43" s="168">
        <f t="shared" si="4"/>
        <v>0</v>
      </c>
      <c r="D43" s="169">
        <f t="shared" ref="D43:M43" si="11">D14</f>
        <v>0</v>
      </c>
      <c r="E43" s="170">
        <f t="shared" si="11"/>
        <v>0</v>
      </c>
      <c r="F43" s="170">
        <f t="shared" si="11"/>
        <v>0</v>
      </c>
      <c r="G43" s="170">
        <f t="shared" si="11"/>
        <v>0</v>
      </c>
      <c r="H43" s="170">
        <f t="shared" si="11"/>
        <v>0</v>
      </c>
      <c r="I43" s="170">
        <f t="shared" si="11"/>
        <v>0</v>
      </c>
      <c r="J43" s="170">
        <f t="shared" si="11"/>
        <v>0</v>
      </c>
      <c r="K43" s="170">
        <f t="shared" si="11"/>
        <v>0</v>
      </c>
      <c r="L43" s="181">
        <f t="shared" si="11"/>
        <v>0</v>
      </c>
      <c r="M43" s="171">
        <f t="shared" si="11"/>
        <v>0</v>
      </c>
    </row>
    <row r="44" spans="1:13" ht="15.75" thickBot="1" x14ac:dyDescent="0.3">
      <c r="A44" s="222"/>
      <c r="B44" s="95" t="s">
        <v>108</v>
      </c>
      <c r="C44" s="175">
        <f>SUM(D44:M44)</f>
        <v>162311056</v>
      </c>
      <c r="D44" s="176">
        <f>SUM(D36:D43)</f>
        <v>27546724</v>
      </c>
      <c r="E44" s="177">
        <f t="shared" ref="E44:M44" si="12">SUM(E36:E42)</f>
        <v>15830444</v>
      </c>
      <c r="F44" s="177">
        <f t="shared" si="12"/>
        <v>12919236</v>
      </c>
      <c r="G44" s="177">
        <f t="shared" si="12"/>
        <v>14219236</v>
      </c>
      <c r="H44" s="177">
        <f t="shared" si="12"/>
        <v>15299236</v>
      </c>
      <c r="I44" s="177">
        <f t="shared" si="12"/>
        <v>15299236</v>
      </c>
      <c r="J44" s="177">
        <f t="shared" si="12"/>
        <v>15299236</v>
      </c>
      <c r="K44" s="177">
        <f t="shared" si="12"/>
        <v>15299236</v>
      </c>
      <c r="L44" s="178">
        <f t="shared" si="12"/>
        <v>15299236</v>
      </c>
      <c r="M44" s="179">
        <f t="shared" si="12"/>
        <v>15299236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E75"/>
  <sheetViews>
    <sheetView view="pageBreakPreview" topLeftCell="A37" zoomScale="60" zoomScaleNormal="85" workbookViewId="0">
      <selection activeCell="E20" sqref="E20"/>
    </sheetView>
  </sheetViews>
  <sheetFormatPr defaultColWidth="8.85546875" defaultRowHeight="15" outlineLevelRow="2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46" t="s">
        <v>103</v>
      </c>
      <c r="B1" s="746"/>
      <c r="C1" s="746"/>
      <c r="D1" s="747"/>
      <c r="E1" s="71" t="s">
        <v>35</v>
      </c>
    </row>
    <row r="2" spans="1:5" ht="15.75" collapsed="1" thickBot="1" x14ac:dyDescent="0.3">
      <c r="A2" s="41" t="s">
        <v>0</v>
      </c>
      <c r="B2" s="76" t="s">
        <v>79</v>
      </c>
      <c r="C2" s="76" t="s">
        <v>78</v>
      </c>
      <c r="D2" s="76" t="s">
        <v>23</v>
      </c>
      <c r="E2" s="17"/>
    </row>
    <row r="3" spans="1:5" ht="15.75" thickBot="1" x14ac:dyDescent="0.3">
      <c r="A3" s="748" t="s">
        <v>83</v>
      </c>
      <c r="B3" s="749"/>
      <c r="C3" s="749"/>
      <c r="D3" s="82"/>
      <c r="E3" s="78">
        <f>E4+E25</f>
        <v>0</v>
      </c>
    </row>
    <row r="4" spans="1:5" ht="15.75" outlineLevel="1" thickBot="1" x14ac:dyDescent="0.3">
      <c r="A4" s="17" t="s">
        <v>110</v>
      </c>
      <c r="B4" s="17"/>
      <c r="C4" s="17"/>
      <c r="D4" s="28"/>
      <c r="E4" s="138">
        <f>SUM(E5:E24)</f>
        <v>0</v>
      </c>
    </row>
    <row r="5" spans="1:5" outlineLevel="2" x14ac:dyDescent="0.25">
      <c r="A5" s="750" t="s">
        <v>84</v>
      </c>
      <c r="B5" s="751" t="s">
        <v>85</v>
      </c>
      <c r="C5" s="751">
        <v>635009</v>
      </c>
      <c r="D5" s="68" t="s">
        <v>25</v>
      </c>
      <c r="E5" s="65">
        <v>0</v>
      </c>
    </row>
    <row r="6" spans="1:5" outlineLevel="2" x14ac:dyDescent="0.25">
      <c r="A6" s="750"/>
      <c r="B6" s="751"/>
      <c r="C6" s="751"/>
      <c r="D6" s="69" t="s">
        <v>26</v>
      </c>
      <c r="E6" s="66">
        <v>0</v>
      </c>
    </row>
    <row r="7" spans="1:5" outlineLevel="2" x14ac:dyDescent="0.25">
      <c r="A7" s="750"/>
      <c r="B7" s="751"/>
      <c r="C7" s="751"/>
      <c r="D7" s="69" t="s">
        <v>27</v>
      </c>
      <c r="E7" s="66">
        <v>0</v>
      </c>
    </row>
    <row r="8" spans="1:5" outlineLevel="2" x14ac:dyDescent="0.25">
      <c r="A8" s="750"/>
      <c r="B8" s="751"/>
      <c r="C8" s="751"/>
      <c r="D8" s="69" t="s">
        <v>28</v>
      </c>
      <c r="E8" s="66">
        <v>0</v>
      </c>
    </row>
    <row r="9" spans="1:5" outlineLevel="2" x14ac:dyDescent="0.25">
      <c r="A9" s="750"/>
      <c r="B9" s="751"/>
      <c r="C9" s="751"/>
      <c r="D9" s="69" t="s">
        <v>29</v>
      </c>
      <c r="E9" s="66">
        <v>0</v>
      </c>
    </row>
    <row r="10" spans="1:5" outlineLevel="2" x14ac:dyDescent="0.25">
      <c r="A10" s="750"/>
      <c r="B10" s="751"/>
      <c r="C10" s="751"/>
      <c r="D10" s="69" t="s">
        <v>30</v>
      </c>
      <c r="E10" s="66">
        <v>0</v>
      </c>
    </row>
    <row r="11" spans="1:5" outlineLevel="2" x14ac:dyDescent="0.25">
      <c r="A11" s="750"/>
      <c r="B11" s="751"/>
      <c r="C11" s="751"/>
      <c r="D11" s="69" t="s">
        <v>31</v>
      </c>
      <c r="E11" s="66">
        <v>0</v>
      </c>
    </row>
    <row r="12" spans="1:5" outlineLevel="2" x14ac:dyDescent="0.25">
      <c r="A12" s="750"/>
      <c r="B12" s="751"/>
      <c r="C12" s="751"/>
      <c r="D12" s="69" t="s">
        <v>32</v>
      </c>
      <c r="E12" s="66">
        <v>0</v>
      </c>
    </row>
    <row r="13" spans="1:5" outlineLevel="2" x14ac:dyDescent="0.25">
      <c r="A13" s="750"/>
      <c r="B13" s="751"/>
      <c r="C13" s="751"/>
      <c r="D13" s="69" t="s">
        <v>33</v>
      </c>
      <c r="E13" s="66">
        <v>0</v>
      </c>
    </row>
    <row r="14" spans="1:5" ht="15.75" outlineLevel="2" thickBot="1" x14ac:dyDescent="0.3">
      <c r="A14" s="750"/>
      <c r="B14" s="751"/>
      <c r="C14" s="751"/>
      <c r="D14" s="70" t="s">
        <v>34</v>
      </c>
      <c r="E14" s="67">
        <v>0</v>
      </c>
    </row>
    <row r="15" spans="1:5" outlineLevel="2" x14ac:dyDescent="0.25">
      <c r="A15" s="750" t="s">
        <v>86</v>
      </c>
      <c r="B15" s="751" t="s">
        <v>77</v>
      </c>
      <c r="C15" s="751">
        <v>718006</v>
      </c>
      <c r="D15" s="68" t="s">
        <v>25</v>
      </c>
      <c r="E15" s="66">
        <v>0</v>
      </c>
    </row>
    <row r="16" spans="1:5" outlineLevel="2" x14ac:dyDescent="0.25">
      <c r="A16" s="750"/>
      <c r="B16" s="751"/>
      <c r="C16" s="751"/>
      <c r="D16" s="69" t="s">
        <v>26</v>
      </c>
      <c r="E16" s="66">
        <v>0</v>
      </c>
    </row>
    <row r="17" spans="1:5" outlineLevel="2" x14ac:dyDescent="0.25">
      <c r="A17" s="750"/>
      <c r="B17" s="751"/>
      <c r="C17" s="751"/>
      <c r="D17" s="69" t="s">
        <v>27</v>
      </c>
      <c r="E17" s="66">
        <v>0</v>
      </c>
    </row>
    <row r="18" spans="1:5" outlineLevel="2" x14ac:dyDescent="0.25">
      <c r="A18" s="750"/>
      <c r="B18" s="751"/>
      <c r="C18" s="751"/>
      <c r="D18" s="69" t="s">
        <v>28</v>
      </c>
      <c r="E18" s="66">
        <v>0</v>
      </c>
    </row>
    <row r="19" spans="1:5" outlineLevel="2" x14ac:dyDescent="0.25">
      <c r="A19" s="750"/>
      <c r="B19" s="751"/>
      <c r="C19" s="751"/>
      <c r="D19" s="69" t="s">
        <v>29</v>
      </c>
      <c r="E19" s="66">
        <v>0</v>
      </c>
    </row>
    <row r="20" spans="1:5" outlineLevel="2" x14ac:dyDescent="0.25">
      <c r="A20" s="750"/>
      <c r="B20" s="751"/>
      <c r="C20" s="751"/>
      <c r="D20" s="69" t="s">
        <v>30</v>
      </c>
      <c r="E20" s="66">
        <v>0</v>
      </c>
    </row>
    <row r="21" spans="1:5" outlineLevel="2" x14ac:dyDescent="0.25">
      <c r="A21" s="750"/>
      <c r="B21" s="751"/>
      <c r="C21" s="751"/>
      <c r="D21" s="69" t="s">
        <v>31</v>
      </c>
      <c r="E21" s="66">
        <v>0</v>
      </c>
    </row>
    <row r="22" spans="1:5" outlineLevel="2" x14ac:dyDescent="0.25">
      <c r="A22" s="750"/>
      <c r="B22" s="751"/>
      <c r="C22" s="751"/>
      <c r="D22" s="69" t="s">
        <v>32</v>
      </c>
      <c r="E22" s="66">
        <v>0</v>
      </c>
    </row>
    <row r="23" spans="1:5" outlineLevel="2" x14ac:dyDescent="0.25">
      <c r="A23" s="750"/>
      <c r="B23" s="751"/>
      <c r="C23" s="751"/>
      <c r="D23" s="69" t="s">
        <v>33</v>
      </c>
      <c r="E23" s="66">
        <v>0</v>
      </c>
    </row>
    <row r="24" spans="1:5" ht="15.75" outlineLevel="2" thickBot="1" x14ac:dyDescent="0.3">
      <c r="A24" s="750"/>
      <c r="B24" s="751"/>
      <c r="C24" s="751"/>
      <c r="D24" s="70" t="s">
        <v>34</v>
      </c>
      <c r="E24" s="67">
        <v>0</v>
      </c>
    </row>
    <row r="25" spans="1:5" ht="15.75" outlineLevel="1" thickBot="1" x14ac:dyDescent="0.3">
      <c r="A25" s="17" t="s">
        <v>111</v>
      </c>
      <c r="B25" s="17"/>
      <c r="C25" s="17"/>
      <c r="D25" s="28"/>
      <c r="E25" s="140">
        <f>SUM(E26:E75)</f>
        <v>0</v>
      </c>
    </row>
    <row r="26" spans="1:5" outlineLevel="2" x14ac:dyDescent="0.25">
      <c r="A26" s="750" t="s">
        <v>87</v>
      </c>
      <c r="B26" s="751" t="s">
        <v>85</v>
      </c>
      <c r="C26" s="751">
        <v>635009</v>
      </c>
      <c r="D26" s="68" t="s">
        <v>25</v>
      </c>
      <c r="E26" s="72">
        <v>0</v>
      </c>
    </row>
    <row r="27" spans="1:5" outlineLevel="2" x14ac:dyDescent="0.25">
      <c r="A27" s="750"/>
      <c r="B27" s="751"/>
      <c r="C27" s="751"/>
      <c r="D27" s="69" t="s">
        <v>26</v>
      </c>
      <c r="E27" s="73">
        <v>0</v>
      </c>
    </row>
    <row r="28" spans="1:5" outlineLevel="2" x14ac:dyDescent="0.25">
      <c r="A28" s="750"/>
      <c r="B28" s="751"/>
      <c r="C28" s="751"/>
      <c r="D28" s="69" t="s">
        <v>27</v>
      </c>
      <c r="E28" s="73">
        <v>0</v>
      </c>
    </row>
    <row r="29" spans="1:5" outlineLevel="2" x14ac:dyDescent="0.25">
      <c r="A29" s="750"/>
      <c r="B29" s="751"/>
      <c r="C29" s="751"/>
      <c r="D29" s="69" t="s">
        <v>28</v>
      </c>
      <c r="E29" s="73">
        <v>0</v>
      </c>
    </row>
    <row r="30" spans="1:5" outlineLevel="2" x14ac:dyDescent="0.25">
      <c r="A30" s="750"/>
      <c r="B30" s="751"/>
      <c r="C30" s="751"/>
      <c r="D30" s="69" t="s">
        <v>29</v>
      </c>
      <c r="E30" s="73">
        <v>0</v>
      </c>
    </row>
    <row r="31" spans="1:5" outlineLevel="2" x14ac:dyDescent="0.25">
      <c r="A31" s="750"/>
      <c r="B31" s="751"/>
      <c r="C31" s="751"/>
      <c r="D31" s="69" t="s">
        <v>30</v>
      </c>
      <c r="E31" s="73">
        <v>0</v>
      </c>
    </row>
    <row r="32" spans="1:5" outlineLevel="2" x14ac:dyDescent="0.25">
      <c r="A32" s="750"/>
      <c r="B32" s="751"/>
      <c r="C32" s="751"/>
      <c r="D32" s="69" t="s">
        <v>31</v>
      </c>
      <c r="E32" s="73">
        <v>0</v>
      </c>
    </row>
    <row r="33" spans="1:5" outlineLevel="2" x14ac:dyDescent="0.25">
      <c r="A33" s="750"/>
      <c r="B33" s="751"/>
      <c r="C33" s="751"/>
      <c r="D33" s="69" t="s">
        <v>32</v>
      </c>
      <c r="E33" s="73">
        <v>0</v>
      </c>
    </row>
    <row r="34" spans="1:5" outlineLevel="2" x14ac:dyDescent="0.25">
      <c r="A34" s="750"/>
      <c r="B34" s="751"/>
      <c r="C34" s="751"/>
      <c r="D34" s="69" t="s">
        <v>33</v>
      </c>
      <c r="E34" s="73">
        <v>0</v>
      </c>
    </row>
    <row r="35" spans="1:5" ht="15.75" outlineLevel="2" thickBot="1" x14ac:dyDescent="0.3">
      <c r="A35" s="750"/>
      <c r="B35" s="751"/>
      <c r="C35" s="751"/>
      <c r="D35" s="70" t="s">
        <v>34</v>
      </c>
      <c r="E35" s="74">
        <v>0</v>
      </c>
    </row>
    <row r="36" spans="1:5" outlineLevel="2" x14ac:dyDescent="0.25">
      <c r="A36" s="750" t="s">
        <v>88</v>
      </c>
      <c r="B36" s="751" t="s">
        <v>82</v>
      </c>
      <c r="C36" s="751">
        <v>637005</v>
      </c>
      <c r="D36" s="68" t="s">
        <v>25</v>
      </c>
      <c r="E36" s="73">
        <v>0</v>
      </c>
    </row>
    <row r="37" spans="1:5" outlineLevel="2" x14ac:dyDescent="0.25">
      <c r="A37" s="750"/>
      <c r="B37" s="751"/>
      <c r="C37" s="751"/>
      <c r="D37" s="69" t="s">
        <v>26</v>
      </c>
      <c r="E37" s="73">
        <v>0</v>
      </c>
    </row>
    <row r="38" spans="1:5" outlineLevel="2" x14ac:dyDescent="0.25">
      <c r="A38" s="750"/>
      <c r="B38" s="751"/>
      <c r="C38" s="751"/>
      <c r="D38" s="69" t="s">
        <v>27</v>
      </c>
      <c r="E38" s="73">
        <v>0</v>
      </c>
    </row>
    <row r="39" spans="1:5" outlineLevel="2" x14ac:dyDescent="0.25">
      <c r="A39" s="750"/>
      <c r="B39" s="751"/>
      <c r="C39" s="751"/>
      <c r="D39" s="69" t="s">
        <v>28</v>
      </c>
      <c r="E39" s="73">
        <v>0</v>
      </c>
    </row>
    <row r="40" spans="1:5" outlineLevel="2" x14ac:dyDescent="0.25">
      <c r="A40" s="750"/>
      <c r="B40" s="751"/>
      <c r="C40" s="751"/>
      <c r="D40" s="69" t="s">
        <v>29</v>
      </c>
      <c r="E40" s="73">
        <v>0</v>
      </c>
    </row>
    <row r="41" spans="1:5" outlineLevel="2" x14ac:dyDescent="0.25">
      <c r="A41" s="750"/>
      <c r="B41" s="751"/>
      <c r="C41" s="751"/>
      <c r="D41" s="69" t="s">
        <v>30</v>
      </c>
      <c r="E41" s="73">
        <v>0</v>
      </c>
    </row>
    <row r="42" spans="1:5" outlineLevel="2" x14ac:dyDescent="0.25">
      <c r="A42" s="750"/>
      <c r="B42" s="751"/>
      <c r="C42" s="751"/>
      <c r="D42" s="69" t="s">
        <v>31</v>
      </c>
      <c r="E42" s="73">
        <v>0</v>
      </c>
    </row>
    <row r="43" spans="1:5" outlineLevel="2" x14ac:dyDescent="0.25">
      <c r="A43" s="750"/>
      <c r="B43" s="751"/>
      <c r="C43" s="751"/>
      <c r="D43" s="69" t="s">
        <v>32</v>
      </c>
      <c r="E43" s="73">
        <v>0</v>
      </c>
    </row>
    <row r="44" spans="1:5" outlineLevel="2" x14ac:dyDescent="0.25">
      <c r="A44" s="750"/>
      <c r="B44" s="751"/>
      <c r="C44" s="751"/>
      <c r="D44" s="69" t="s">
        <v>33</v>
      </c>
      <c r="E44" s="73">
        <v>0</v>
      </c>
    </row>
    <row r="45" spans="1:5" ht="15.75" outlineLevel="2" thickBot="1" x14ac:dyDescent="0.3">
      <c r="A45" s="750"/>
      <c r="B45" s="751"/>
      <c r="C45" s="751"/>
      <c r="D45" s="70" t="s">
        <v>34</v>
      </c>
      <c r="E45" s="74">
        <v>0</v>
      </c>
    </row>
    <row r="46" spans="1:5" outlineLevel="2" x14ac:dyDescent="0.25">
      <c r="A46" s="750" t="s">
        <v>89</v>
      </c>
      <c r="B46" s="751" t="s">
        <v>77</v>
      </c>
      <c r="C46" s="751">
        <v>718006</v>
      </c>
      <c r="D46" s="68" t="s">
        <v>25</v>
      </c>
      <c r="E46" s="73">
        <v>0</v>
      </c>
    </row>
    <row r="47" spans="1:5" outlineLevel="2" x14ac:dyDescent="0.25">
      <c r="A47" s="750"/>
      <c r="B47" s="751"/>
      <c r="C47" s="751"/>
      <c r="D47" s="69" t="s">
        <v>26</v>
      </c>
      <c r="E47" s="73">
        <v>0</v>
      </c>
    </row>
    <row r="48" spans="1:5" outlineLevel="2" x14ac:dyDescent="0.25">
      <c r="A48" s="750"/>
      <c r="B48" s="751"/>
      <c r="C48" s="751"/>
      <c r="D48" s="69" t="s">
        <v>27</v>
      </c>
      <c r="E48" s="73">
        <v>0</v>
      </c>
    </row>
    <row r="49" spans="1:5" outlineLevel="2" x14ac:dyDescent="0.25">
      <c r="A49" s="750"/>
      <c r="B49" s="751"/>
      <c r="C49" s="751"/>
      <c r="D49" s="69" t="s">
        <v>28</v>
      </c>
      <c r="E49" s="73">
        <v>0</v>
      </c>
    </row>
    <row r="50" spans="1:5" outlineLevel="2" x14ac:dyDescent="0.25">
      <c r="A50" s="750"/>
      <c r="B50" s="751"/>
      <c r="C50" s="751"/>
      <c r="D50" s="69" t="s">
        <v>29</v>
      </c>
      <c r="E50" s="73">
        <v>0</v>
      </c>
    </row>
    <row r="51" spans="1:5" outlineLevel="2" x14ac:dyDescent="0.25">
      <c r="A51" s="750"/>
      <c r="B51" s="751"/>
      <c r="C51" s="751"/>
      <c r="D51" s="69" t="s">
        <v>30</v>
      </c>
      <c r="E51" s="73">
        <v>0</v>
      </c>
    </row>
    <row r="52" spans="1:5" outlineLevel="2" x14ac:dyDescent="0.25">
      <c r="A52" s="750"/>
      <c r="B52" s="751"/>
      <c r="C52" s="751"/>
      <c r="D52" s="69" t="s">
        <v>31</v>
      </c>
      <c r="E52" s="73">
        <v>0</v>
      </c>
    </row>
    <row r="53" spans="1:5" outlineLevel="2" x14ac:dyDescent="0.25">
      <c r="A53" s="750"/>
      <c r="B53" s="751"/>
      <c r="C53" s="751"/>
      <c r="D53" s="69" t="s">
        <v>32</v>
      </c>
      <c r="E53" s="73">
        <v>0</v>
      </c>
    </row>
    <row r="54" spans="1:5" outlineLevel="2" x14ac:dyDescent="0.25">
      <c r="A54" s="750"/>
      <c r="B54" s="751"/>
      <c r="C54" s="751"/>
      <c r="D54" s="69" t="s">
        <v>33</v>
      </c>
      <c r="E54" s="73">
        <v>0</v>
      </c>
    </row>
    <row r="55" spans="1:5" ht="15.75" outlineLevel="2" thickBot="1" x14ac:dyDescent="0.3">
      <c r="A55" s="750"/>
      <c r="B55" s="751"/>
      <c r="C55" s="751"/>
      <c r="D55" s="70" t="s">
        <v>34</v>
      </c>
      <c r="E55" s="74">
        <v>0</v>
      </c>
    </row>
    <row r="56" spans="1:5" outlineLevel="2" x14ac:dyDescent="0.25">
      <c r="A56" s="750" t="s">
        <v>90</v>
      </c>
      <c r="B56" s="751" t="s">
        <v>91</v>
      </c>
      <c r="C56" s="751"/>
      <c r="D56" s="68" t="s">
        <v>25</v>
      </c>
      <c r="E56" s="73">
        <v>0</v>
      </c>
    </row>
    <row r="57" spans="1:5" outlineLevel="2" x14ac:dyDescent="0.25">
      <c r="A57" s="750"/>
      <c r="B57" s="751"/>
      <c r="C57" s="751"/>
      <c r="D57" s="69" t="s">
        <v>26</v>
      </c>
      <c r="E57" s="73">
        <v>0</v>
      </c>
    </row>
    <row r="58" spans="1:5" outlineLevel="2" x14ac:dyDescent="0.25">
      <c r="A58" s="750"/>
      <c r="B58" s="751"/>
      <c r="C58" s="751"/>
      <c r="D58" s="69" t="s">
        <v>27</v>
      </c>
      <c r="E58" s="73">
        <v>0</v>
      </c>
    </row>
    <row r="59" spans="1:5" outlineLevel="2" x14ac:dyDescent="0.25">
      <c r="A59" s="750"/>
      <c r="B59" s="751"/>
      <c r="C59" s="751"/>
      <c r="D59" s="69" t="s">
        <v>28</v>
      </c>
      <c r="E59" s="73">
        <v>0</v>
      </c>
    </row>
    <row r="60" spans="1:5" outlineLevel="2" x14ac:dyDescent="0.25">
      <c r="A60" s="750"/>
      <c r="B60" s="751"/>
      <c r="C60" s="751"/>
      <c r="D60" s="69" t="s">
        <v>29</v>
      </c>
      <c r="E60" s="73">
        <v>0</v>
      </c>
    </row>
    <row r="61" spans="1:5" outlineLevel="2" x14ac:dyDescent="0.25">
      <c r="A61" s="750"/>
      <c r="B61" s="751"/>
      <c r="C61" s="751"/>
      <c r="D61" s="69" t="s">
        <v>30</v>
      </c>
      <c r="E61" s="73">
        <v>0</v>
      </c>
    </row>
    <row r="62" spans="1:5" outlineLevel="2" x14ac:dyDescent="0.25">
      <c r="A62" s="750"/>
      <c r="B62" s="751"/>
      <c r="C62" s="751"/>
      <c r="D62" s="69" t="s">
        <v>31</v>
      </c>
      <c r="E62" s="73">
        <v>0</v>
      </c>
    </row>
    <row r="63" spans="1:5" outlineLevel="2" x14ac:dyDescent="0.25">
      <c r="A63" s="750"/>
      <c r="B63" s="751"/>
      <c r="C63" s="751"/>
      <c r="D63" s="69" t="s">
        <v>32</v>
      </c>
      <c r="E63" s="73">
        <v>0</v>
      </c>
    </row>
    <row r="64" spans="1:5" outlineLevel="2" x14ac:dyDescent="0.25">
      <c r="A64" s="750"/>
      <c r="B64" s="751"/>
      <c r="C64" s="751"/>
      <c r="D64" s="69" t="s">
        <v>33</v>
      </c>
      <c r="E64" s="73">
        <v>0</v>
      </c>
    </row>
    <row r="65" spans="1:5" ht="15.75" outlineLevel="2" thickBot="1" x14ac:dyDescent="0.3">
      <c r="A65" s="750"/>
      <c r="B65" s="751"/>
      <c r="C65" s="751"/>
      <c r="D65" s="70" t="s">
        <v>34</v>
      </c>
      <c r="E65" s="74">
        <v>0</v>
      </c>
    </row>
    <row r="66" spans="1:5" outlineLevel="2" x14ac:dyDescent="0.25">
      <c r="A66" s="750" t="s">
        <v>81</v>
      </c>
      <c r="B66" s="751" t="s">
        <v>82</v>
      </c>
      <c r="C66" s="751">
        <v>637001</v>
      </c>
      <c r="D66" s="68" t="s">
        <v>25</v>
      </c>
      <c r="E66" s="73">
        <v>0</v>
      </c>
    </row>
    <row r="67" spans="1:5" outlineLevel="2" x14ac:dyDescent="0.25">
      <c r="A67" s="750"/>
      <c r="B67" s="751"/>
      <c r="C67" s="751"/>
      <c r="D67" s="69" t="s">
        <v>26</v>
      </c>
      <c r="E67" s="73">
        <v>0</v>
      </c>
    </row>
    <row r="68" spans="1:5" outlineLevel="2" x14ac:dyDescent="0.25">
      <c r="A68" s="750"/>
      <c r="B68" s="751"/>
      <c r="C68" s="751"/>
      <c r="D68" s="69" t="s">
        <v>27</v>
      </c>
      <c r="E68" s="73">
        <v>0</v>
      </c>
    </row>
    <row r="69" spans="1:5" outlineLevel="2" x14ac:dyDescent="0.25">
      <c r="A69" s="750"/>
      <c r="B69" s="751"/>
      <c r="C69" s="751"/>
      <c r="D69" s="69" t="s">
        <v>28</v>
      </c>
      <c r="E69" s="73">
        <v>0</v>
      </c>
    </row>
    <row r="70" spans="1:5" outlineLevel="2" x14ac:dyDescent="0.25">
      <c r="A70" s="750"/>
      <c r="B70" s="751"/>
      <c r="C70" s="751"/>
      <c r="D70" s="69" t="s">
        <v>29</v>
      </c>
      <c r="E70" s="73">
        <v>0</v>
      </c>
    </row>
    <row r="71" spans="1:5" outlineLevel="2" x14ac:dyDescent="0.25">
      <c r="A71" s="750"/>
      <c r="B71" s="751"/>
      <c r="C71" s="751"/>
      <c r="D71" s="69" t="s">
        <v>30</v>
      </c>
      <c r="E71" s="73">
        <v>0</v>
      </c>
    </row>
    <row r="72" spans="1:5" outlineLevel="2" x14ac:dyDescent="0.25">
      <c r="A72" s="750"/>
      <c r="B72" s="751"/>
      <c r="C72" s="751"/>
      <c r="D72" s="69" t="s">
        <v>31</v>
      </c>
      <c r="E72" s="73">
        <v>0</v>
      </c>
    </row>
    <row r="73" spans="1:5" outlineLevel="2" x14ac:dyDescent="0.25">
      <c r="A73" s="750"/>
      <c r="B73" s="751"/>
      <c r="C73" s="751"/>
      <c r="D73" s="69" t="s">
        <v>32</v>
      </c>
      <c r="E73" s="73">
        <v>0</v>
      </c>
    </row>
    <row r="74" spans="1:5" outlineLevel="2" x14ac:dyDescent="0.25">
      <c r="A74" s="750"/>
      <c r="B74" s="751"/>
      <c r="C74" s="751"/>
      <c r="D74" s="69" t="s">
        <v>33</v>
      </c>
      <c r="E74" s="73">
        <v>0</v>
      </c>
    </row>
    <row r="75" spans="1:5" ht="15.75" outlineLevel="2" thickBot="1" x14ac:dyDescent="0.3">
      <c r="A75" s="750"/>
      <c r="B75" s="751"/>
      <c r="C75" s="751"/>
      <c r="D75" s="70" t="s">
        <v>34</v>
      </c>
      <c r="E75" s="74">
        <v>0</v>
      </c>
    </row>
  </sheetData>
  <mergeCells count="23"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E53"/>
  <sheetViews>
    <sheetView view="pageBreakPreview" zoomScale="60" zoomScaleNormal="85" workbookViewId="0">
      <selection activeCell="F13" sqref="F13"/>
    </sheetView>
  </sheetViews>
  <sheetFormatPr defaultColWidth="8.85546875" defaultRowHeight="15" outlineLevelRow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46" t="s">
        <v>102</v>
      </c>
      <c r="B1" s="746"/>
      <c r="C1" s="746"/>
      <c r="D1" s="747"/>
      <c r="E1" s="71" t="s">
        <v>35</v>
      </c>
    </row>
    <row r="2" spans="1:5" ht="15.75" thickBot="1" x14ac:dyDescent="0.3">
      <c r="A2" s="41" t="s">
        <v>0</v>
      </c>
      <c r="B2" s="76" t="s">
        <v>79</v>
      </c>
      <c r="C2" s="76" t="s">
        <v>78</v>
      </c>
      <c r="D2" s="76" t="s">
        <v>23</v>
      </c>
      <c r="E2" s="17"/>
    </row>
    <row r="3" spans="1:5" ht="15.75" thickBot="1" x14ac:dyDescent="0.3">
      <c r="A3" s="752" t="s">
        <v>93</v>
      </c>
      <c r="B3" s="752"/>
      <c r="C3" s="752"/>
      <c r="D3" s="77"/>
      <c r="E3" s="78">
        <f>SUM(E4:E53)</f>
        <v>0</v>
      </c>
    </row>
    <row r="4" spans="1:5" outlineLevel="1" x14ac:dyDescent="0.25">
      <c r="A4" s="750" t="s">
        <v>98</v>
      </c>
      <c r="B4" s="751" t="s">
        <v>85</v>
      </c>
      <c r="C4" s="751">
        <v>635002</v>
      </c>
      <c r="D4" s="68" t="s">
        <v>25</v>
      </c>
      <c r="E4" s="72">
        <v>0</v>
      </c>
    </row>
    <row r="5" spans="1:5" outlineLevel="1" x14ac:dyDescent="0.25">
      <c r="A5" s="750"/>
      <c r="B5" s="751"/>
      <c r="C5" s="751"/>
      <c r="D5" s="69" t="s">
        <v>26</v>
      </c>
      <c r="E5" s="73">
        <v>0</v>
      </c>
    </row>
    <row r="6" spans="1:5" outlineLevel="1" x14ac:dyDescent="0.25">
      <c r="A6" s="750"/>
      <c r="B6" s="751"/>
      <c r="C6" s="751"/>
      <c r="D6" s="69" t="s">
        <v>27</v>
      </c>
      <c r="E6" s="73">
        <v>0</v>
      </c>
    </row>
    <row r="7" spans="1:5" outlineLevel="1" x14ac:dyDescent="0.25">
      <c r="A7" s="750"/>
      <c r="B7" s="751"/>
      <c r="C7" s="751"/>
      <c r="D7" s="69" t="s">
        <v>28</v>
      </c>
      <c r="E7" s="73">
        <v>0</v>
      </c>
    </row>
    <row r="8" spans="1:5" outlineLevel="1" x14ac:dyDescent="0.25">
      <c r="A8" s="750"/>
      <c r="B8" s="751"/>
      <c r="C8" s="751"/>
      <c r="D8" s="69" t="s">
        <v>29</v>
      </c>
      <c r="E8" s="73">
        <v>0</v>
      </c>
    </row>
    <row r="9" spans="1:5" outlineLevel="1" x14ac:dyDescent="0.25">
      <c r="A9" s="750"/>
      <c r="B9" s="751"/>
      <c r="C9" s="751"/>
      <c r="D9" s="69" t="s">
        <v>30</v>
      </c>
      <c r="E9" s="73">
        <v>0</v>
      </c>
    </row>
    <row r="10" spans="1:5" outlineLevel="1" x14ac:dyDescent="0.25">
      <c r="A10" s="750"/>
      <c r="B10" s="751"/>
      <c r="C10" s="751"/>
      <c r="D10" s="69" t="s">
        <v>31</v>
      </c>
      <c r="E10" s="73">
        <v>0</v>
      </c>
    </row>
    <row r="11" spans="1:5" outlineLevel="1" x14ac:dyDescent="0.25">
      <c r="A11" s="750"/>
      <c r="B11" s="751"/>
      <c r="C11" s="751"/>
      <c r="D11" s="69" t="s">
        <v>32</v>
      </c>
      <c r="E11" s="73">
        <v>0</v>
      </c>
    </row>
    <row r="12" spans="1:5" outlineLevel="1" x14ac:dyDescent="0.25">
      <c r="A12" s="750"/>
      <c r="B12" s="751"/>
      <c r="C12" s="751"/>
      <c r="D12" s="69" t="s">
        <v>33</v>
      </c>
      <c r="E12" s="73">
        <v>0</v>
      </c>
    </row>
    <row r="13" spans="1:5" ht="15.75" outlineLevel="1" thickBot="1" x14ac:dyDescent="0.3">
      <c r="A13" s="750"/>
      <c r="B13" s="751"/>
      <c r="C13" s="751"/>
      <c r="D13" s="70" t="s">
        <v>34</v>
      </c>
      <c r="E13" s="74">
        <v>0</v>
      </c>
    </row>
    <row r="14" spans="1:5" outlineLevel="1" x14ac:dyDescent="0.25">
      <c r="A14" s="750" t="s">
        <v>99</v>
      </c>
      <c r="B14" s="750" t="s">
        <v>97</v>
      </c>
      <c r="C14" s="751">
        <v>718002</v>
      </c>
      <c r="D14" s="68" t="s">
        <v>25</v>
      </c>
      <c r="E14" s="73">
        <v>0</v>
      </c>
    </row>
    <row r="15" spans="1:5" outlineLevel="1" x14ac:dyDescent="0.25">
      <c r="A15" s="750"/>
      <c r="B15" s="751"/>
      <c r="C15" s="751"/>
      <c r="D15" s="69" t="s">
        <v>26</v>
      </c>
      <c r="E15" s="73">
        <v>0</v>
      </c>
    </row>
    <row r="16" spans="1:5" outlineLevel="1" x14ac:dyDescent="0.25">
      <c r="A16" s="750"/>
      <c r="B16" s="751"/>
      <c r="C16" s="751"/>
      <c r="D16" s="69" t="s">
        <v>27</v>
      </c>
      <c r="E16" s="73">
        <v>0</v>
      </c>
    </row>
    <row r="17" spans="1:5" outlineLevel="1" x14ac:dyDescent="0.25">
      <c r="A17" s="750"/>
      <c r="B17" s="751"/>
      <c r="C17" s="751"/>
      <c r="D17" s="69" t="s">
        <v>28</v>
      </c>
      <c r="E17" s="73">
        <v>0</v>
      </c>
    </row>
    <row r="18" spans="1:5" outlineLevel="1" x14ac:dyDescent="0.25">
      <c r="A18" s="750"/>
      <c r="B18" s="751"/>
      <c r="C18" s="751"/>
      <c r="D18" s="69" t="s">
        <v>29</v>
      </c>
      <c r="E18" s="73">
        <v>0</v>
      </c>
    </row>
    <row r="19" spans="1:5" outlineLevel="1" x14ac:dyDescent="0.25">
      <c r="A19" s="750"/>
      <c r="B19" s="751"/>
      <c r="C19" s="751"/>
      <c r="D19" s="69" t="s">
        <v>30</v>
      </c>
      <c r="E19" s="73">
        <v>0</v>
      </c>
    </row>
    <row r="20" spans="1:5" outlineLevel="1" x14ac:dyDescent="0.25">
      <c r="A20" s="750"/>
      <c r="B20" s="751"/>
      <c r="C20" s="751"/>
      <c r="D20" s="69" t="s">
        <v>31</v>
      </c>
      <c r="E20" s="73">
        <v>0</v>
      </c>
    </row>
    <row r="21" spans="1:5" outlineLevel="1" x14ac:dyDescent="0.25">
      <c r="A21" s="750"/>
      <c r="B21" s="751"/>
      <c r="C21" s="751"/>
      <c r="D21" s="69" t="s">
        <v>32</v>
      </c>
      <c r="E21" s="73">
        <v>0</v>
      </c>
    </row>
    <row r="22" spans="1:5" outlineLevel="1" x14ac:dyDescent="0.25">
      <c r="A22" s="750"/>
      <c r="B22" s="751"/>
      <c r="C22" s="751"/>
      <c r="D22" s="69" t="s">
        <v>33</v>
      </c>
      <c r="E22" s="73">
        <v>0</v>
      </c>
    </row>
    <row r="23" spans="1:5" ht="15.75" outlineLevel="1" thickBot="1" x14ac:dyDescent="0.3">
      <c r="A23" s="750"/>
      <c r="B23" s="751"/>
      <c r="C23" s="751"/>
      <c r="D23" s="70" t="s">
        <v>34</v>
      </c>
      <c r="E23" s="74">
        <v>0</v>
      </c>
    </row>
    <row r="24" spans="1:5" outlineLevel="1" x14ac:dyDescent="0.25">
      <c r="A24" s="750" t="s">
        <v>100</v>
      </c>
      <c r="B24" s="751"/>
      <c r="C24" s="751"/>
      <c r="D24" s="68" t="s">
        <v>25</v>
      </c>
      <c r="E24" s="73">
        <v>0</v>
      </c>
    </row>
    <row r="25" spans="1:5" outlineLevel="1" x14ac:dyDescent="0.25">
      <c r="A25" s="750"/>
      <c r="B25" s="751"/>
      <c r="C25" s="751"/>
      <c r="D25" s="69" t="s">
        <v>26</v>
      </c>
      <c r="E25" s="73">
        <v>0</v>
      </c>
    </row>
    <row r="26" spans="1:5" outlineLevel="1" x14ac:dyDescent="0.25">
      <c r="A26" s="750"/>
      <c r="B26" s="751"/>
      <c r="C26" s="751"/>
      <c r="D26" s="69" t="s">
        <v>27</v>
      </c>
      <c r="E26" s="73">
        <v>0</v>
      </c>
    </row>
    <row r="27" spans="1:5" outlineLevel="1" x14ac:dyDescent="0.25">
      <c r="A27" s="750"/>
      <c r="B27" s="751"/>
      <c r="C27" s="751"/>
      <c r="D27" s="69" t="s">
        <v>28</v>
      </c>
      <c r="E27" s="73">
        <v>0</v>
      </c>
    </row>
    <row r="28" spans="1:5" outlineLevel="1" x14ac:dyDescent="0.25">
      <c r="A28" s="750"/>
      <c r="B28" s="751"/>
      <c r="C28" s="751"/>
      <c r="D28" s="69" t="s">
        <v>29</v>
      </c>
      <c r="E28" s="73">
        <v>0</v>
      </c>
    </row>
    <row r="29" spans="1:5" outlineLevel="1" x14ac:dyDescent="0.25">
      <c r="A29" s="750"/>
      <c r="B29" s="751"/>
      <c r="C29" s="751"/>
      <c r="D29" s="69" t="s">
        <v>30</v>
      </c>
      <c r="E29" s="73">
        <v>0</v>
      </c>
    </row>
    <row r="30" spans="1:5" outlineLevel="1" x14ac:dyDescent="0.25">
      <c r="A30" s="750"/>
      <c r="B30" s="751"/>
      <c r="C30" s="751"/>
      <c r="D30" s="69" t="s">
        <v>31</v>
      </c>
      <c r="E30" s="73">
        <v>0</v>
      </c>
    </row>
    <row r="31" spans="1:5" outlineLevel="1" x14ac:dyDescent="0.25">
      <c r="A31" s="750"/>
      <c r="B31" s="751"/>
      <c r="C31" s="751"/>
      <c r="D31" s="69" t="s">
        <v>32</v>
      </c>
      <c r="E31" s="73">
        <v>0</v>
      </c>
    </row>
    <row r="32" spans="1:5" outlineLevel="1" x14ac:dyDescent="0.25">
      <c r="A32" s="750"/>
      <c r="B32" s="751"/>
      <c r="C32" s="751"/>
      <c r="D32" s="69" t="s">
        <v>33</v>
      </c>
      <c r="E32" s="73">
        <v>0</v>
      </c>
    </row>
    <row r="33" spans="1:5" ht="15.75" outlineLevel="1" thickBot="1" x14ac:dyDescent="0.3">
      <c r="A33" s="750"/>
      <c r="B33" s="751"/>
      <c r="C33" s="751"/>
      <c r="D33" s="70" t="s">
        <v>34</v>
      </c>
      <c r="E33" s="74">
        <v>0</v>
      </c>
    </row>
    <row r="34" spans="1:5" outlineLevel="1" x14ac:dyDescent="0.25">
      <c r="A34" s="750" t="s">
        <v>101</v>
      </c>
      <c r="B34" s="751"/>
      <c r="C34" s="751"/>
      <c r="D34" s="68" t="s">
        <v>25</v>
      </c>
      <c r="E34" s="73">
        <v>0</v>
      </c>
    </row>
    <row r="35" spans="1:5" outlineLevel="1" x14ac:dyDescent="0.25">
      <c r="A35" s="750"/>
      <c r="B35" s="751"/>
      <c r="C35" s="751"/>
      <c r="D35" s="69" t="s">
        <v>26</v>
      </c>
      <c r="E35" s="73">
        <v>0</v>
      </c>
    </row>
    <row r="36" spans="1:5" outlineLevel="1" x14ac:dyDescent="0.25">
      <c r="A36" s="750"/>
      <c r="B36" s="751"/>
      <c r="C36" s="751"/>
      <c r="D36" s="69" t="s">
        <v>27</v>
      </c>
      <c r="E36" s="73">
        <v>0</v>
      </c>
    </row>
    <row r="37" spans="1:5" outlineLevel="1" x14ac:dyDescent="0.25">
      <c r="A37" s="750"/>
      <c r="B37" s="751"/>
      <c r="C37" s="751"/>
      <c r="D37" s="69" t="s">
        <v>28</v>
      </c>
      <c r="E37" s="73">
        <v>0</v>
      </c>
    </row>
    <row r="38" spans="1:5" outlineLevel="1" x14ac:dyDescent="0.25">
      <c r="A38" s="750"/>
      <c r="B38" s="751"/>
      <c r="C38" s="751"/>
      <c r="D38" s="69" t="s">
        <v>29</v>
      </c>
      <c r="E38" s="73">
        <v>0</v>
      </c>
    </row>
    <row r="39" spans="1:5" outlineLevel="1" x14ac:dyDescent="0.25">
      <c r="A39" s="750"/>
      <c r="B39" s="751"/>
      <c r="C39" s="751"/>
      <c r="D39" s="69" t="s">
        <v>30</v>
      </c>
      <c r="E39" s="73">
        <v>0</v>
      </c>
    </row>
    <row r="40" spans="1:5" outlineLevel="1" x14ac:dyDescent="0.25">
      <c r="A40" s="750"/>
      <c r="B40" s="751"/>
      <c r="C40" s="751"/>
      <c r="D40" s="69" t="s">
        <v>31</v>
      </c>
      <c r="E40" s="73">
        <v>0</v>
      </c>
    </row>
    <row r="41" spans="1:5" outlineLevel="1" x14ac:dyDescent="0.25">
      <c r="A41" s="750"/>
      <c r="B41" s="751"/>
      <c r="C41" s="751"/>
      <c r="D41" s="69" t="s">
        <v>32</v>
      </c>
      <c r="E41" s="73">
        <v>0</v>
      </c>
    </row>
    <row r="42" spans="1:5" outlineLevel="1" x14ac:dyDescent="0.25">
      <c r="A42" s="750"/>
      <c r="B42" s="751"/>
      <c r="C42" s="751"/>
      <c r="D42" s="69" t="s">
        <v>33</v>
      </c>
      <c r="E42" s="73">
        <v>0</v>
      </c>
    </row>
    <row r="43" spans="1:5" ht="15.75" outlineLevel="1" thickBot="1" x14ac:dyDescent="0.3">
      <c r="A43" s="750"/>
      <c r="B43" s="751"/>
      <c r="C43" s="751"/>
      <c r="D43" s="70" t="s">
        <v>34</v>
      </c>
      <c r="E43" s="74">
        <v>0</v>
      </c>
    </row>
    <row r="44" spans="1:5" outlineLevel="1" x14ac:dyDescent="0.25">
      <c r="A44" s="750" t="s">
        <v>96</v>
      </c>
      <c r="B44" s="751" t="s">
        <v>82</v>
      </c>
      <c r="C44" s="751">
        <v>637001</v>
      </c>
      <c r="D44" s="68" t="s">
        <v>25</v>
      </c>
      <c r="E44" s="73">
        <v>0</v>
      </c>
    </row>
    <row r="45" spans="1:5" outlineLevel="1" x14ac:dyDescent="0.25">
      <c r="A45" s="750"/>
      <c r="B45" s="751"/>
      <c r="C45" s="751"/>
      <c r="D45" s="69" t="s">
        <v>26</v>
      </c>
      <c r="E45" s="73">
        <v>0</v>
      </c>
    </row>
    <row r="46" spans="1:5" outlineLevel="1" x14ac:dyDescent="0.25">
      <c r="A46" s="750"/>
      <c r="B46" s="751"/>
      <c r="C46" s="751"/>
      <c r="D46" s="69" t="s">
        <v>27</v>
      </c>
      <c r="E46" s="73">
        <v>0</v>
      </c>
    </row>
    <row r="47" spans="1:5" outlineLevel="1" x14ac:dyDescent="0.25">
      <c r="A47" s="750"/>
      <c r="B47" s="751"/>
      <c r="C47" s="751"/>
      <c r="D47" s="69" t="s">
        <v>28</v>
      </c>
      <c r="E47" s="73">
        <v>0</v>
      </c>
    </row>
    <row r="48" spans="1:5" outlineLevel="1" x14ac:dyDescent="0.25">
      <c r="A48" s="750"/>
      <c r="B48" s="751"/>
      <c r="C48" s="751"/>
      <c r="D48" s="69" t="s">
        <v>29</v>
      </c>
      <c r="E48" s="73">
        <v>0</v>
      </c>
    </row>
    <row r="49" spans="1:5" outlineLevel="1" x14ac:dyDescent="0.25">
      <c r="A49" s="750"/>
      <c r="B49" s="751"/>
      <c r="C49" s="751"/>
      <c r="D49" s="69" t="s">
        <v>30</v>
      </c>
      <c r="E49" s="73">
        <v>0</v>
      </c>
    </row>
    <row r="50" spans="1:5" outlineLevel="1" x14ac:dyDescent="0.25">
      <c r="A50" s="750"/>
      <c r="B50" s="751"/>
      <c r="C50" s="751"/>
      <c r="D50" s="69" t="s">
        <v>31</v>
      </c>
      <c r="E50" s="73">
        <v>0</v>
      </c>
    </row>
    <row r="51" spans="1:5" outlineLevel="1" x14ac:dyDescent="0.25">
      <c r="A51" s="750"/>
      <c r="B51" s="751"/>
      <c r="C51" s="751"/>
      <c r="D51" s="69" t="s">
        <v>32</v>
      </c>
      <c r="E51" s="73">
        <v>0</v>
      </c>
    </row>
    <row r="52" spans="1:5" outlineLevel="1" x14ac:dyDescent="0.25">
      <c r="A52" s="750"/>
      <c r="B52" s="751"/>
      <c r="C52" s="751"/>
      <c r="D52" s="69" t="s">
        <v>33</v>
      </c>
      <c r="E52" s="73">
        <v>0</v>
      </c>
    </row>
    <row r="53" spans="1:5" ht="15.75" outlineLevel="1" thickBot="1" x14ac:dyDescent="0.3">
      <c r="A53" s="750"/>
      <c r="B53" s="751"/>
      <c r="C53" s="751"/>
      <c r="D53" s="70" t="s">
        <v>34</v>
      </c>
      <c r="E53" s="74">
        <v>0</v>
      </c>
    </row>
  </sheetData>
  <mergeCells count="17"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J170"/>
  <sheetViews>
    <sheetView view="pageBreakPreview" topLeftCell="A79" zoomScale="60" zoomScaleNormal="85" workbookViewId="0">
      <selection activeCell="J1" sqref="J1:J24"/>
    </sheetView>
  </sheetViews>
  <sheetFormatPr defaultColWidth="8.85546875" defaultRowHeight="15" outlineLevelRow="2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9" width="19.28515625" customWidth="1" outlineLevel="1"/>
    <col min="10" max="10" width="22.140625" customWidth="1" outlineLevel="1"/>
  </cols>
  <sheetData>
    <row r="1" spans="1:10" ht="35.25" customHeight="1" thickBot="1" x14ac:dyDescent="0.4">
      <c r="A1" s="746" t="s">
        <v>103</v>
      </c>
      <c r="B1" s="746"/>
      <c r="C1" s="746"/>
      <c r="D1" s="747"/>
      <c r="E1" s="71" t="s">
        <v>35</v>
      </c>
      <c r="F1" s="344" t="s">
        <v>74</v>
      </c>
      <c r="G1" s="344" t="s">
        <v>75</v>
      </c>
      <c r="H1" s="344" t="s">
        <v>232</v>
      </c>
      <c r="I1" s="344" t="s">
        <v>214</v>
      </c>
      <c r="J1" s="344" t="s">
        <v>368</v>
      </c>
    </row>
    <row r="2" spans="1:10" ht="15.75" thickBot="1" x14ac:dyDescent="0.3">
      <c r="A2" s="41" t="s">
        <v>0</v>
      </c>
      <c r="B2" s="76" t="s">
        <v>79</v>
      </c>
      <c r="C2" s="76" t="s">
        <v>78</v>
      </c>
      <c r="D2" s="76" t="s">
        <v>23</v>
      </c>
      <c r="E2" s="17"/>
      <c r="F2" s="17"/>
      <c r="G2" s="17"/>
      <c r="H2" s="17"/>
      <c r="I2" s="17"/>
      <c r="J2" s="17"/>
    </row>
    <row r="3" spans="1:10" ht="15.75" thickBot="1" x14ac:dyDescent="0.3">
      <c r="A3" s="753" t="s">
        <v>123</v>
      </c>
      <c r="B3" s="754"/>
      <c r="C3" s="754"/>
      <c r="D3" s="81"/>
      <c r="E3" s="78">
        <f t="shared" ref="E3:J3" si="0">E4+E25</f>
        <v>10111280</v>
      </c>
      <c r="F3" s="79">
        <f t="shared" si="0"/>
        <v>6223980</v>
      </c>
      <c r="G3" s="79">
        <f t="shared" si="0"/>
        <v>1169100</v>
      </c>
      <c r="H3" s="299">
        <f t="shared" si="0"/>
        <v>2718200</v>
      </c>
      <c r="I3" s="299">
        <f t="shared" si="0"/>
        <v>0</v>
      </c>
      <c r="J3" s="80">
        <f t="shared" si="0"/>
        <v>0</v>
      </c>
    </row>
    <row r="4" spans="1:10" ht="15.75" outlineLevel="1" thickBot="1" x14ac:dyDescent="0.3">
      <c r="A4" s="17" t="s">
        <v>110</v>
      </c>
      <c r="B4" s="17"/>
      <c r="C4" s="17"/>
      <c r="D4" s="28"/>
      <c r="E4" s="78">
        <f t="shared" ref="E4:J4" si="1">SUM(E5:E24)</f>
        <v>0</v>
      </c>
      <c r="F4" s="79">
        <f t="shared" si="1"/>
        <v>0</v>
      </c>
      <c r="G4" s="79">
        <f t="shared" si="1"/>
        <v>0</v>
      </c>
      <c r="H4" s="299">
        <f t="shared" si="1"/>
        <v>0</v>
      </c>
      <c r="I4" s="299">
        <f t="shared" si="1"/>
        <v>0</v>
      </c>
      <c r="J4" s="80">
        <f t="shared" si="1"/>
        <v>0</v>
      </c>
    </row>
    <row r="5" spans="1:10" outlineLevel="2" x14ac:dyDescent="0.25">
      <c r="A5" s="750" t="s">
        <v>76</v>
      </c>
      <c r="B5" s="751" t="s">
        <v>77</v>
      </c>
      <c r="C5" s="751">
        <v>711003</v>
      </c>
      <c r="D5" s="68" t="s">
        <v>25</v>
      </c>
      <c r="E5" s="65">
        <f>SUM(F5:J5)</f>
        <v>0</v>
      </c>
      <c r="F5" s="129">
        <v>0</v>
      </c>
      <c r="G5" s="130">
        <v>0</v>
      </c>
      <c r="H5" s="300">
        <v>0</v>
      </c>
      <c r="I5" s="300">
        <v>0</v>
      </c>
      <c r="J5" s="135">
        <v>0</v>
      </c>
    </row>
    <row r="6" spans="1:10" outlineLevel="2" x14ac:dyDescent="0.25">
      <c r="A6" s="750"/>
      <c r="B6" s="751"/>
      <c r="C6" s="751"/>
      <c r="D6" s="69" t="s">
        <v>26</v>
      </c>
      <c r="E6" s="66">
        <f t="shared" ref="E6:E24" si="2">SUM(F6:J6)</f>
        <v>0</v>
      </c>
      <c r="F6" s="131">
        <v>0</v>
      </c>
      <c r="G6" s="132">
        <v>0</v>
      </c>
      <c r="H6" s="301">
        <v>0</v>
      </c>
      <c r="I6" s="301">
        <v>0</v>
      </c>
      <c r="J6" s="136">
        <v>0</v>
      </c>
    </row>
    <row r="7" spans="1:10" outlineLevel="2" x14ac:dyDescent="0.25">
      <c r="A7" s="750"/>
      <c r="B7" s="751"/>
      <c r="C7" s="751"/>
      <c r="D7" s="69" t="s">
        <v>27</v>
      </c>
      <c r="E7" s="66">
        <f t="shared" si="2"/>
        <v>0</v>
      </c>
      <c r="F7" s="131">
        <v>0</v>
      </c>
      <c r="G7" s="132">
        <v>0</v>
      </c>
      <c r="H7" s="301">
        <v>0</v>
      </c>
      <c r="I7" s="301">
        <v>0</v>
      </c>
      <c r="J7" s="136">
        <v>0</v>
      </c>
    </row>
    <row r="8" spans="1:10" outlineLevel="2" x14ac:dyDescent="0.25">
      <c r="A8" s="750"/>
      <c r="B8" s="751"/>
      <c r="C8" s="751"/>
      <c r="D8" s="69" t="s">
        <v>28</v>
      </c>
      <c r="E8" s="66">
        <f t="shared" si="2"/>
        <v>0</v>
      </c>
      <c r="F8" s="131">
        <v>0</v>
      </c>
      <c r="G8" s="132">
        <v>0</v>
      </c>
      <c r="H8" s="301">
        <v>0</v>
      </c>
      <c r="I8" s="301">
        <v>0</v>
      </c>
      <c r="J8" s="136">
        <v>0</v>
      </c>
    </row>
    <row r="9" spans="1:10" outlineLevel="2" x14ac:dyDescent="0.25">
      <c r="A9" s="750"/>
      <c r="B9" s="751"/>
      <c r="C9" s="751"/>
      <c r="D9" s="69" t="s">
        <v>29</v>
      </c>
      <c r="E9" s="66">
        <f t="shared" si="2"/>
        <v>0</v>
      </c>
      <c r="F9" s="131">
        <v>0</v>
      </c>
      <c r="G9" s="132">
        <v>0</v>
      </c>
      <c r="H9" s="301">
        <v>0</v>
      </c>
      <c r="I9" s="301">
        <v>0</v>
      </c>
      <c r="J9" s="136">
        <v>0</v>
      </c>
    </row>
    <row r="10" spans="1:10" outlineLevel="2" x14ac:dyDescent="0.25">
      <c r="A10" s="750"/>
      <c r="B10" s="751"/>
      <c r="C10" s="751"/>
      <c r="D10" s="69" t="s">
        <v>30</v>
      </c>
      <c r="E10" s="66">
        <f t="shared" si="2"/>
        <v>0</v>
      </c>
      <c r="F10" s="131">
        <v>0</v>
      </c>
      <c r="G10" s="132">
        <v>0</v>
      </c>
      <c r="H10" s="301">
        <v>0</v>
      </c>
      <c r="I10" s="301">
        <v>0</v>
      </c>
      <c r="J10" s="136">
        <v>0</v>
      </c>
    </row>
    <row r="11" spans="1:10" outlineLevel="2" x14ac:dyDescent="0.25">
      <c r="A11" s="750"/>
      <c r="B11" s="751"/>
      <c r="C11" s="751"/>
      <c r="D11" s="69" t="s">
        <v>31</v>
      </c>
      <c r="E11" s="66">
        <f t="shared" si="2"/>
        <v>0</v>
      </c>
      <c r="F11" s="131">
        <v>0</v>
      </c>
      <c r="G11" s="132">
        <v>0</v>
      </c>
      <c r="H11" s="301">
        <v>0</v>
      </c>
      <c r="I11" s="301">
        <v>0</v>
      </c>
      <c r="J11" s="136">
        <v>0</v>
      </c>
    </row>
    <row r="12" spans="1:10" outlineLevel="2" x14ac:dyDescent="0.25">
      <c r="A12" s="750"/>
      <c r="B12" s="751"/>
      <c r="C12" s="751"/>
      <c r="D12" s="69" t="s">
        <v>32</v>
      </c>
      <c r="E12" s="66">
        <f t="shared" si="2"/>
        <v>0</v>
      </c>
      <c r="F12" s="131">
        <v>0</v>
      </c>
      <c r="G12" s="132">
        <v>0</v>
      </c>
      <c r="H12" s="301">
        <v>0</v>
      </c>
      <c r="I12" s="301">
        <v>0</v>
      </c>
      <c r="J12" s="136">
        <v>0</v>
      </c>
    </row>
    <row r="13" spans="1:10" outlineLevel="2" x14ac:dyDescent="0.25">
      <c r="A13" s="750"/>
      <c r="B13" s="751"/>
      <c r="C13" s="751"/>
      <c r="D13" s="69" t="s">
        <v>33</v>
      </c>
      <c r="E13" s="66">
        <f t="shared" si="2"/>
        <v>0</v>
      </c>
      <c r="F13" s="131">
        <v>0</v>
      </c>
      <c r="G13" s="132">
        <v>0</v>
      </c>
      <c r="H13" s="301">
        <v>0</v>
      </c>
      <c r="I13" s="301">
        <v>0</v>
      </c>
      <c r="J13" s="136">
        <v>0</v>
      </c>
    </row>
    <row r="14" spans="1:10" ht="15.75" outlineLevel="2" thickBot="1" x14ac:dyDescent="0.3">
      <c r="A14" s="750"/>
      <c r="B14" s="751"/>
      <c r="C14" s="751"/>
      <c r="D14" s="70" t="s">
        <v>34</v>
      </c>
      <c r="E14" s="66">
        <f t="shared" si="2"/>
        <v>0</v>
      </c>
      <c r="F14" s="133">
        <v>0</v>
      </c>
      <c r="G14" s="134">
        <v>0</v>
      </c>
      <c r="H14" s="302">
        <v>0</v>
      </c>
      <c r="I14" s="302">
        <v>0</v>
      </c>
      <c r="J14" s="137">
        <v>0</v>
      </c>
    </row>
    <row r="15" spans="1:10" outlineLevel="2" x14ac:dyDescent="0.25">
      <c r="A15" s="750" t="s">
        <v>76</v>
      </c>
      <c r="B15" s="751" t="s">
        <v>82</v>
      </c>
      <c r="C15" s="751">
        <v>633013</v>
      </c>
      <c r="D15" s="68" t="s">
        <v>25</v>
      </c>
      <c r="E15" s="65">
        <f t="shared" si="2"/>
        <v>0</v>
      </c>
      <c r="F15" s="129">
        <v>0</v>
      </c>
      <c r="G15" s="130">
        <v>0</v>
      </c>
      <c r="H15" s="300">
        <v>0</v>
      </c>
      <c r="I15" s="300">
        <v>0</v>
      </c>
      <c r="J15" s="135">
        <v>0</v>
      </c>
    </row>
    <row r="16" spans="1:10" outlineLevel="2" x14ac:dyDescent="0.25">
      <c r="A16" s="750"/>
      <c r="B16" s="751"/>
      <c r="C16" s="751"/>
      <c r="D16" s="69" t="s">
        <v>26</v>
      </c>
      <c r="E16" s="66">
        <f t="shared" si="2"/>
        <v>0</v>
      </c>
      <c r="F16" s="131">
        <v>0</v>
      </c>
      <c r="G16" s="132">
        <v>0</v>
      </c>
      <c r="H16" s="301">
        <v>0</v>
      </c>
      <c r="I16" s="301">
        <v>0</v>
      </c>
      <c r="J16" s="136">
        <v>0</v>
      </c>
    </row>
    <row r="17" spans="1:10" outlineLevel="2" x14ac:dyDescent="0.25">
      <c r="A17" s="750"/>
      <c r="B17" s="751"/>
      <c r="C17" s="751"/>
      <c r="D17" s="69" t="s">
        <v>27</v>
      </c>
      <c r="E17" s="66">
        <f t="shared" si="2"/>
        <v>0</v>
      </c>
      <c r="F17" s="131">
        <v>0</v>
      </c>
      <c r="G17" s="132">
        <v>0</v>
      </c>
      <c r="H17" s="301">
        <v>0</v>
      </c>
      <c r="I17" s="301">
        <v>0</v>
      </c>
      <c r="J17" s="136">
        <v>0</v>
      </c>
    </row>
    <row r="18" spans="1:10" outlineLevel="2" x14ac:dyDescent="0.25">
      <c r="A18" s="750"/>
      <c r="B18" s="751"/>
      <c r="C18" s="751"/>
      <c r="D18" s="69" t="s">
        <v>28</v>
      </c>
      <c r="E18" s="66">
        <f t="shared" si="2"/>
        <v>0</v>
      </c>
      <c r="F18" s="131">
        <v>0</v>
      </c>
      <c r="G18" s="132">
        <v>0</v>
      </c>
      <c r="H18" s="301">
        <v>0</v>
      </c>
      <c r="I18" s="301">
        <v>0</v>
      </c>
      <c r="J18" s="136">
        <v>0</v>
      </c>
    </row>
    <row r="19" spans="1:10" outlineLevel="2" x14ac:dyDescent="0.25">
      <c r="A19" s="750"/>
      <c r="B19" s="751"/>
      <c r="C19" s="751"/>
      <c r="D19" s="69" t="s">
        <v>29</v>
      </c>
      <c r="E19" s="66">
        <f t="shared" si="2"/>
        <v>0</v>
      </c>
      <c r="F19" s="131">
        <v>0</v>
      </c>
      <c r="G19" s="132">
        <v>0</v>
      </c>
      <c r="H19" s="301">
        <v>0</v>
      </c>
      <c r="I19" s="301">
        <v>0</v>
      </c>
      <c r="J19" s="136">
        <v>0</v>
      </c>
    </row>
    <row r="20" spans="1:10" outlineLevel="2" x14ac:dyDescent="0.25">
      <c r="A20" s="750"/>
      <c r="B20" s="751"/>
      <c r="C20" s="751"/>
      <c r="D20" s="69" t="s">
        <v>30</v>
      </c>
      <c r="E20" s="66">
        <f t="shared" si="2"/>
        <v>0</v>
      </c>
      <c r="F20" s="131">
        <v>0</v>
      </c>
      <c r="G20" s="132">
        <v>0</v>
      </c>
      <c r="H20" s="301">
        <v>0</v>
      </c>
      <c r="I20" s="301">
        <v>0</v>
      </c>
      <c r="J20" s="136">
        <v>0</v>
      </c>
    </row>
    <row r="21" spans="1:10" outlineLevel="2" x14ac:dyDescent="0.25">
      <c r="A21" s="750"/>
      <c r="B21" s="751"/>
      <c r="C21" s="751"/>
      <c r="D21" s="69" t="s">
        <v>31</v>
      </c>
      <c r="E21" s="66">
        <f t="shared" si="2"/>
        <v>0</v>
      </c>
      <c r="F21" s="131">
        <v>0</v>
      </c>
      <c r="G21" s="132">
        <v>0</v>
      </c>
      <c r="H21" s="301">
        <v>0</v>
      </c>
      <c r="I21" s="301">
        <v>0</v>
      </c>
      <c r="J21" s="136">
        <v>0</v>
      </c>
    </row>
    <row r="22" spans="1:10" outlineLevel="2" x14ac:dyDescent="0.25">
      <c r="A22" s="750"/>
      <c r="B22" s="751"/>
      <c r="C22" s="751"/>
      <c r="D22" s="69" t="s">
        <v>32</v>
      </c>
      <c r="E22" s="66">
        <f t="shared" si="2"/>
        <v>0</v>
      </c>
      <c r="F22" s="131">
        <v>0</v>
      </c>
      <c r="G22" s="132">
        <v>0</v>
      </c>
      <c r="H22" s="301">
        <v>0</v>
      </c>
      <c r="I22" s="301">
        <v>0</v>
      </c>
      <c r="J22" s="136">
        <v>0</v>
      </c>
    </row>
    <row r="23" spans="1:10" outlineLevel="2" x14ac:dyDescent="0.25">
      <c r="A23" s="750"/>
      <c r="B23" s="751"/>
      <c r="C23" s="751"/>
      <c r="D23" s="69" t="s">
        <v>33</v>
      </c>
      <c r="E23" s="66">
        <f t="shared" si="2"/>
        <v>0</v>
      </c>
      <c r="F23" s="131">
        <v>0</v>
      </c>
      <c r="G23" s="132">
        <v>0</v>
      </c>
      <c r="H23" s="301">
        <v>0</v>
      </c>
      <c r="I23" s="301">
        <v>0</v>
      </c>
      <c r="J23" s="136">
        <v>0</v>
      </c>
    </row>
    <row r="24" spans="1:10" ht="15.75" outlineLevel="2" thickBot="1" x14ac:dyDescent="0.3">
      <c r="A24" s="750"/>
      <c r="B24" s="751"/>
      <c r="C24" s="751"/>
      <c r="D24" s="70" t="s">
        <v>34</v>
      </c>
      <c r="E24" s="67">
        <f t="shared" si="2"/>
        <v>0</v>
      </c>
      <c r="F24" s="133">
        <v>0</v>
      </c>
      <c r="G24" s="134">
        <v>0</v>
      </c>
      <c r="H24" s="302">
        <v>0</v>
      </c>
      <c r="I24" s="302">
        <v>0</v>
      </c>
      <c r="J24" s="137">
        <v>0</v>
      </c>
    </row>
    <row r="25" spans="1:10" ht="15.75" outlineLevel="1" thickBot="1" x14ac:dyDescent="0.3">
      <c r="A25" s="17" t="s">
        <v>111</v>
      </c>
      <c r="B25" s="17"/>
      <c r="C25" s="17"/>
      <c r="D25" s="28"/>
      <c r="E25" s="143">
        <f t="shared" ref="E25:J25" si="3">SUM(E26:E55)</f>
        <v>10111280</v>
      </c>
      <c r="F25" s="144">
        <f t="shared" si="3"/>
        <v>6223980</v>
      </c>
      <c r="G25" s="144">
        <f t="shared" si="3"/>
        <v>1169100</v>
      </c>
      <c r="H25" s="303">
        <f t="shared" si="3"/>
        <v>2718200</v>
      </c>
      <c r="I25" s="303">
        <f t="shared" si="3"/>
        <v>0</v>
      </c>
      <c r="J25" s="145">
        <f t="shared" si="3"/>
        <v>0</v>
      </c>
    </row>
    <row r="26" spans="1:10" outlineLevel="2" x14ac:dyDescent="0.25">
      <c r="A26" s="750" t="s">
        <v>80</v>
      </c>
      <c r="B26" s="751" t="s">
        <v>77</v>
      </c>
      <c r="C26" s="751">
        <v>711003</v>
      </c>
      <c r="D26" s="68" t="s">
        <v>25</v>
      </c>
      <c r="E26" s="72">
        <f t="shared" ref="E26:E55" si="4">SUM(F26:J26)</f>
        <v>6656980</v>
      </c>
      <c r="F26" s="120">
        <v>4924200</v>
      </c>
      <c r="G26" s="121">
        <v>612700</v>
      </c>
      <c r="H26" s="304">
        <v>1120080</v>
      </c>
      <c r="I26" s="304">
        <v>0</v>
      </c>
      <c r="J26" s="122">
        <v>0</v>
      </c>
    </row>
    <row r="27" spans="1:10" outlineLevel="2" x14ac:dyDescent="0.25">
      <c r="A27" s="750"/>
      <c r="B27" s="751"/>
      <c r="C27" s="751"/>
      <c r="D27" s="69" t="s">
        <v>26</v>
      </c>
      <c r="E27" s="73">
        <f t="shared" si="4"/>
        <v>2379700</v>
      </c>
      <c r="F27" s="123">
        <v>917580</v>
      </c>
      <c r="G27" s="124">
        <v>195200</v>
      </c>
      <c r="H27" s="305">
        <v>1266920</v>
      </c>
      <c r="I27" s="305">
        <v>0</v>
      </c>
      <c r="J27" s="125">
        <v>0</v>
      </c>
    </row>
    <row r="28" spans="1:10" outlineLevel="2" x14ac:dyDescent="0.25">
      <c r="A28" s="750"/>
      <c r="B28" s="751"/>
      <c r="C28" s="751"/>
      <c r="D28" s="69" t="s">
        <v>27</v>
      </c>
      <c r="E28" s="73">
        <f t="shared" si="4"/>
        <v>0</v>
      </c>
      <c r="F28" s="123">
        <v>0</v>
      </c>
      <c r="G28" s="124">
        <v>0</v>
      </c>
      <c r="H28" s="305">
        <v>0</v>
      </c>
      <c r="I28" s="305">
        <v>0</v>
      </c>
      <c r="J28" s="125">
        <v>0</v>
      </c>
    </row>
    <row r="29" spans="1:10" outlineLevel="2" x14ac:dyDescent="0.25">
      <c r="A29" s="750"/>
      <c r="B29" s="751"/>
      <c r="C29" s="751"/>
      <c r="D29" s="69" t="s">
        <v>28</v>
      </c>
      <c r="E29" s="73">
        <f t="shared" si="4"/>
        <v>0</v>
      </c>
      <c r="F29" s="123">
        <v>0</v>
      </c>
      <c r="G29" s="124">
        <v>0</v>
      </c>
      <c r="H29" s="305">
        <v>0</v>
      </c>
      <c r="I29" s="305">
        <v>0</v>
      </c>
      <c r="J29" s="125">
        <v>0</v>
      </c>
    </row>
    <row r="30" spans="1:10" outlineLevel="2" x14ac:dyDescent="0.25">
      <c r="A30" s="750"/>
      <c r="B30" s="751"/>
      <c r="C30" s="751"/>
      <c r="D30" s="69" t="s">
        <v>29</v>
      </c>
      <c r="E30" s="73">
        <f t="shared" si="4"/>
        <v>0</v>
      </c>
      <c r="F30" s="123">
        <v>0</v>
      </c>
      <c r="G30" s="124">
        <v>0</v>
      </c>
      <c r="H30" s="305">
        <v>0</v>
      </c>
      <c r="I30" s="305">
        <v>0</v>
      </c>
      <c r="J30" s="125">
        <v>0</v>
      </c>
    </row>
    <row r="31" spans="1:10" outlineLevel="2" x14ac:dyDescent="0.25">
      <c r="A31" s="750"/>
      <c r="B31" s="751"/>
      <c r="C31" s="751"/>
      <c r="D31" s="69" t="s">
        <v>30</v>
      </c>
      <c r="E31" s="73">
        <f t="shared" si="4"/>
        <v>0</v>
      </c>
      <c r="F31" s="123">
        <v>0</v>
      </c>
      <c r="G31" s="124">
        <v>0</v>
      </c>
      <c r="H31" s="305">
        <v>0</v>
      </c>
      <c r="I31" s="305">
        <v>0</v>
      </c>
      <c r="J31" s="125">
        <v>0</v>
      </c>
    </row>
    <row r="32" spans="1:10" outlineLevel="2" x14ac:dyDescent="0.25">
      <c r="A32" s="750"/>
      <c r="B32" s="751"/>
      <c r="C32" s="751"/>
      <c r="D32" s="69" t="s">
        <v>31</v>
      </c>
      <c r="E32" s="73">
        <f t="shared" si="4"/>
        <v>0</v>
      </c>
      <c r="F32" s="123">
        <v>0</v>
      </c>
      <c r="G32" s="124">
        <v>0</v>
      </c>
      <c r="H32" s="305">
        <v>0</v>
      </c>
      <c r="I32" s="305">
        <v>0</v>
      </c>
      <c r="J32" s="125">
        <v>0</v>
      </c>
    </row>
    <row r="33" spans="1:10" outlineLevel="2" x14ac:dyDescent="0.25">
      <c r="A33" s="750"/>
      <c r="B33" s="751"/>
      <c r="C33" s="751"/>
      <c r="D33" s="69" t="s">
        <v>32</v>
      </c>
      <c r="E33" s="73">
        <f t="shared" si="4"/>
        <v>0</v>
      </c>
      <c r="F33" s="123">
        <v>0</v>
      </c>
      <c r="G33" s="124">
        <v>0</v>
      </c>
      <c r="H33" s="305">
        <v>0</v>
      </c>
      <c r="I33" s="305">
        <v>0</v>
      </c>
      <c r="J33" s="125">
        <v>0</v>
      </c>
    </row>
    <row r="34" spans="1:10" outlineLevel="2" x14ac:dyDescent="0.25">
      <c r="A34" s="750"/>
      <c r="B34" s="751"/>
      <c r="C34" s="751"/>
      <c r="D34" s="69" t="s">
        <v>33</v>
      </c>
      <c r="E34" s="73">
        <f t="shared" si="4"/>
        <v>0</v>
      </c>
      <c r="F34" s="123">
        <v>0</v>
      </c>
      <c r="G34" s="124">
        <v>0</v>
      </c>
      <c r="H34" s="305">
        <v>0</v>
      </c>
      <c r="I34" s="305">
        <v>0</v>
      </c>
      <c r="J34" s="125">
        <v>0</v>
      </c>
    </row>
    <row r="35" spans="1:10" ht="15.75" outlineLevel="2" thickBot="1" x14ac:dyDescent="0.3">
      <c r="A35" s="750"/>
      <c r="B35" s="751"/>
      <c r="C35" s="751"/>
      <c r="D35" s="70" t="s">
        <v>34</v>
      </c>
      <c r="E35" s="74">
        <f t="shared" si="4"/>
        <v>0</v>
      </c>
      <c r="F35" s="126">
        <v>0</v>
      </c>
      <c r="G35" s="127">
        <v>0</v>
      </c>
      <c r="H35" s="306">
        <v>0</v>
      </c>
      <c r="I35" s="306">
        <v>0</v>
      </c>
      <c r="J35" s="128">
        <v>0</v>
      </c>
    </row>
    <row r="36" spans="1:10" outlineLevel="2" x14ac:dyDescent="0.25">
      <c r="A36" s="750" t="s">
        <v>80</v>
      </c>
      <c r="B36" s="751" t="s">
        <v>82</v>
      </c>
      <c r="C36" s="751">
        <v>633013</v>
      </c>
      <c r="D36" s="68" t="s">
        <v>25</v>
      </c>
      <c r="E36" s="73">
        <f t="shared" si="4"/>
        <v>496800</v>
      </c>
      <c r="F36" s="120">
        <v>165600</v>
      </c>
      <c r="G36" s="121">
        <v>165600</v>
      </c>
      <c r="H36" s="304">
        <v>165600</v>
      </c>
      <c r="I36" s="304">
        <v>0</v>
      </c>
      <c r="J36" s="122">
        <v>0</v>
      </c>
    </row>
    <row r="37" spans="1:10" outlineLevel="2" x14ac:dyDescent="0.25">
      <c r="A37" s="750"/>
      <c r="B37" s="751"/>
      <c r="C37" s="751"/>
      <c r="D37" s="69" t="s">
        <v>26</v>
      </c>
      <c r="E37" s="73">
        <f t="shared" si="4"/>
        <v>496800</v>
      </c>
      <c r="F37" s="123">
        <v>165600</v>
      </c>
      <c r="G37" s="124">
        <v>165600</v>
      </c>
      <c r="H37" s="305">
        <v>165600</v>
      </c>
      <c r="I37" s="305">
        <v>0</v>
      </c>
      <c r="J37" s="125">
        <v>0</v>
      </c>
    </row>
    <row r="38" spans="1:10" outlineLevel="2" x14ac:dyDescent="0.25">
      <c r="A38" s="750"/>
      <c r="B38" s="751"/>
      <c r="C38" s="751"/>
      <c r="D38" s="69" t="s">
        <v>27</v>
      </c>
      <c r="E38" s="73">
        <f t="shared" si="4"/>
        <v>0</v>
      </c>
      <c r="F38" s="123">
        <v>0</v>
      </c>
      <c r="G38" s="124">
        <v>0</v>
      </c>
      <c r="H38" s="305">
        <v>0</v>
      </c>
      <c r="I38" s="305">
        <v>0</v>
      </c>
      <c r="J38" s="125">
        <v>0</v>
      </c>
    </row>
    <row r="39" spans="1:10" outlineLevel="2" x14ac:dyDescent="0.25">
      <c r="A39" s="750"/>
      <c r="B39" s="751"/>
      <c r="C39" s="751"/>
      <c r="D39" s="69" t="s">
        <v>28</v>
      </c>
      <c r="E39" s="73">
        <f t="shared" si="4"/>
        <v>0</v>
      </c>
      <c r="F39" s="123">
        <v>0</v>
      </c>
      <c r="G39" s="124">
        <v>0</v>
      </c>
      <c r="H39" s="305">
        <v>0</v>
      </c>
      <c r="I39" s="305">
        <v>0</v>
      </c>
      <c r="J39" s="125">
        <v>0</v>
      </c>
    </row>
    <row r="40" spans="1:10" outlineLevel="2" x14ac:dyDescent="0.25">
      <c r="A40" s="750"/>
      <c r="B40" s="751"/>
      <c r="C40" s="751"/>
      <c r="D40" s="69" t="s">
        <v>29</v>
      </c>
      <c r="E40" s="73">
        <f t="shared" si="4"/>
        <v>0</v>
      </c>
      <c r="F40" s="123">
        <v>0</v>
      </c>
      <c r="G40" s="124">
        <v>0</v>
      </c>
      <c r="H40" s="305">
        <v>0</v>
      </c>
      <c r="I40" s="305">
        <v>0</v>
      </c>
      <c r="J40" s="125">
        <v>0</v>
      </c>
    </row>
    <row r="41" spans="1:10" outlineLevel="2" x14ac:dyDescent="0.25">
      <c r="A41" s="750"/>
      <c r="B41" s="751"/>
      <c r="C41" s="751"/>
      <c r="D41" s="69" t="s">
        <v>30</v>
      </c>
      <c r="E41" s="73">
        <f t="shared" si="4"/>
        <v>0</v>
      </c>
      <c r="F41" s="123">
        <v>0</v>
      </c>
      <c r="G41" s="124">
        <v>0</v>
      </c>
      <c r="H41" s="305">
        <v>0</v>
      </c>
      <c r="I41" s="305">
        <v>0</v>
      </c>
      <c r="J41" s="125">
        <v>0</v>
      </c>
    </row>
    <row r="42" spans="1:10" outlineLevel="2" x14ac:dyDescent="0.25">
      <c r="A42" s="750"/>
      <c r="B42" s="751"/>
      <c r="C42" s="751"/>
      <c r="D42" s="69" t="s">
        <v>31</v>
      </c>
      <c r="E42" s="73">
        <f t="shared" si="4"/>
        <v>0</v>
      </c>
      <c r="F42" s="123">
        <v>0</v>
      </c>
      <c r="G42" s="124">
        <v>0</v>
      </c>
      <c r="H42" s="305">
        <v>0</v>
      </c>
      <c r="I42" s="305">
        <v>0</v>
      </c>
      <c r="J42" s="125">
        <v>0</v>
      </c>
    </row>
    <row r="43" spans="1:10" outlineLevel="2" x14ac:dyDescent="0.25">
      <c r="A43" s="750"/>
      <c r="B43" s="751"/>
      <c r="C43" s="751"/>
      <c r="D43" s="69" t="s">
        <v>32</v>
      </c>
      <c r="E43" s="73">
        <f t="shared" si="4"/>
        <v>0</v>
      </c>
      <c r="F43" s="123">
        <v>0</v>
      </c>
      <c r="G43" s="124">
        <v>0</v>
      </c>
      <c r="H43" s="305">
        <v>0</v>
      </c>
      <c r="I43" s="305">
        <v>0</v>
      </c>
      <c r="J43" s="125">
        <v>0</v>
      </c>
    </row>
    <row r="44" spans="1:10" outlineLevel="2" x14ac:dyDescent="0.25">
      <c r="A44" s="750"/>
      <c r="B44" s="751"/>
      <c r="C44" s="751"/>
      <c r="D44" s="69" t="s">
        <v>33</v>
      </c>
      <c r="E44" s="73">
        <f t="shared" si="4"/>
        <v>0</v>
      </c>
      <c r="F44" s="123">
        <v>0</v>
      </c>
      <c r="G44" s="124">
        <v>0</v>
      </c>
      <c r="H44" s="305">
        <v>0</v>
      </c>
      <c r="I44" s="305">
        <v>0</v>
      </c>
      <c r="J44" s="125">
        <v>0</v>
      </c>
    </row>
    <row r="45" spans="1:10" ht="15.75" outlineLevel="2" thickBot="1" x14ac:dyDescent="0.3">
      <c r="A45" s="750"/>
      <c r="B45" s="751"/>
      <c r="C45" s="751"/>
      <c r="D45" s="70" t="s">
        <v>34</v>
      </c>
      <c r="E45" s="74">
        <f t="shared" si="4"/>
        <v>0</v>
      </c>
      <c r="F45" s="126">
        <v>0</v>
      </c>
      <c r="G45" s="127">
        <v>0</v>
      </c>
      <c r="H45" s="306">
        <v>0</v>
      </c>
      <c r="I45" s="306">
        <v>0</v>
      </c>
      <c r="J45" s="128">
        <v>0</v>
      </c>
    </row>
    <row r="46" spans="1:10" outlineLevel="2" x14ac:dyDescent="0.25">
      <c r="A46" s="750" t="s">
        <v>81</v>
      </c>
      <c r="B46" s="751" t="s">
        <v>82</v>
      </c>
      <c r="C46" s="751">
        <v>637001</v>
      </c>
      <c r="D46" s="68" t="s">
        <v>25</v>
      </c>
      <c r="E46" s="73">
        <f t="shared" si="4"/>
        <v>0</v>
      </c>
      <c r="F46" s="120">
        <v>0</v>
      </c>
      <c r="G46" s="121">
        <v>0</v>
      </c>
      <c r="H46" s="304">
        <v>0</v>
      </c>
      <c r="I46" s="304">
        <v>0</v>
      </c>
      <c r="J46" s="122">
        <v>0</v>
      </c>
    </row>
    <row r="47" spans="1:10" outlineLevel="2" x14ac:dyDescent="0.25">
      <c r="A47" s="750"/>
      <c r="B47" s="751"/>
      <c r="C47" s="751"/>
      <c r="D47" s="69" t="s">
        <v>26</v>
      </c>
      <c r="E47" s="73">
        <f t="shared" si="4"/>
        <v>81000</v>
      </c>
      <c r="F47" s="123">
        <v>51000</v>
      </c>
      <c r="G47" s="124">
        <v>30000</v>
      </c>
      <c r="H47" s="305">
        <v>0</v>
      </c>
      <c r="I47" s="305">
        <v>0</v>
      </c>
      <c r="J47" s="125">
        <v>0</v>
      </c>
    </row>
    <row r="48" spans="1:10" outlineLevel="2" x14ac:dyDescent="0.25">
      <c r="A48" s="750"/>
      <c r="B48" s="751"/>
      <c r="C48" s="751"/>
      <c r="D48" s="69" t="s">
        <v>27</v>
      </c>
      <c r="E48" s="73">
        <f t="shared" si="4"/>
        <v>0</v>
      </c>
      <c r="F48" s="123">
        <v>0</v>
      </c>
      <c r="G48" s="124">
        <v>0</v>
      </c>
      <c r="H48" s="305">
        <v>0</v>
      </c>
      <c r="I48" s="305">
        <v>0</v>
      </c>
      <c r="J48" s="125">
        <v>0</v>
      </c>
    </row>
    <row r="49" spans="1:10" outlineLevel="2" x14ac:dyDescent="0.25">
      <c r="A49" s="750"/>
      <c r="B49" s="751"/>
      <c r="C49" s="751"/>
      <c r="D49" s="69" t="s">
        <v>28</v>
      </c>
      <c r="E49" s="73">
        <f t="shared" si="4"/>
        <v>0</v>
      </c>
      <c r="F49" s="123">
        <v>0</v>
      </c>
      <c r="G49" s="124">
        <v>0</v>
      </c>
      <c r="H49" s="305">
        <v>0</v>
      </c>
      <c r="I49" s="305">
        <v>0</v>
      </c>
      <c r="J49" s="125">
        <v>0</v>
      </c>
    </row>
    <row r="50" spans="1:10" outlineLevel="2" x14ac:dyDescent="0.25">
      <c r="A50" s="750"/>
      <c r="B50" s="751"/>
      <c r="C50" s="751"/>
      <c r="D50" s="69" t="s">
        <v>29</v>
      </c>
      <c r="E50" s="73">
        <f t="shared" si="4"/>
        <v>0</v>
      </c>
      <c r="F50" s="123">
        <v>0</v>
      </c>
      <c r="G50" s="124">
        <v>0</v>
      </c>
      <c r="H50" s="305">
        <v>0</v>
      </c>
      <c r="I50" s="305">
        <v>0</v>
      </c>
      <c r="J50" s="125">
        <v>0</v>
      </c>
    </row>
    <row r="51" spans="1:10" outlineLevel="2" x14ac:dyDescent="0.25">
      <c r="A51" s="750"/>
      <c r="B51" s="751"/>
      <c r="C51" s="751"/>
      <c r="D51" s="69" t="s">
        <v>30</v>
      </c>
      <c r="E51" s="73">
        <f t="shared" si="4"/>
        <v>0</v>
      </c>
      <c r="F51" s="123">
        <v>0</v>
      </c>
      <c r="G51" s="124">
        <v>0</v>
      </c>
      <c r="H51" s="305">
        <v>0</v>
      </c>
      <c r="I51" s="305">
        <v>0</v>
      </c>
      <c r="J51" s="125">
        <v>0</v>
      </c>
    </row>
    <row r="52" spans="1:10" outlineLevel="2" x14ac:dyDescent="0.25">
      <c r="A52" s="750"/>
      <c r="B52" s="751"/>
      <c r="C52" s="751"/>
      <c r="D52" s="69" t="s">
        <v>31</v>
      </c>
      <c r="E52" s="73">
        <f t="shared" si="4"/>
        <v>0</v>
      </c>
      <c r="F52" s="123">
        <v>0</v>
      </c>
      <c r="G52" s="124">
        <v>0</v>
      </c>
      <c r="H52" s="305">
        <v>0</v>
      </c>
      <c r="I52" s="305">
        <v>0</v>
      </c>
      <c r="J52" s="125">
        <v>0</v>
      </c>
    </row>
    <row r="53" spans="1:10" outlineLevel="2" x14ac:dyDescent="0.25">
      <c r="A53" s="750"/>
      <c r="B53" s="751"/>
      <c r="C53" s="751"/>
      <c r="D53" s="69" t="s">
        <v>32</v>
      </c>
      <c r="E53" s="73">
        <f t="shared" si="4"/>
        <v>0</v>
      </c>
      <c r="F53" s="123">
        <v>0</v>
      </c>
      <c r="G53" s="124">
        <v>0</v>
      </c>
      <c r="H53" s="305">
        <v>0</v>
      </c>
      <c r="I53" s="305">
        <v>0</v>
      </c>
      <c r="J53" s="125">
        <v>0</v>
      </c>
    </row>
    <row r="54" spans="1:10" outlineLevel="2" x14ac:dyDescent="0.25">
      <c r="A54" s="750"/>
      <c r="B54" s="751"/>
      <c r="C54" s="751"/>
      <c r="D54" s="69" t="s">
        <v>33</v>
      </c>
      <c r="E54" s="73">
        <f t="shared" si="4"/>
        <v>0</v>
      </c>
      <c r="F54" s="123">
        <v>0</v>
      </c>
      <c r="G54" s="124">
        <v>0</v>
      </c>
      <c r="H54" s="305">
        <v>0</v>
      </c>
      <c r="I54" s="305">
        <v>0</v>
      </c>
      <c r="J54" s="125">
        <v>0</v>
      </c>
    </row>
    <row r="55" spans="1:10" ht="15.75" outlineLevel="2" thickBot="1" x14ac:dyDescent="0.3">
      <c r="A55" s="750"/>
      <c r="B55" s="751"/>
      <c r="C55" s="751"/>
      <c r="D55" s="69" t="s">
        <v>34</v>
      </c>
      <c r="E55" s="74">
        <f t="shared" si="4"/>
        <v>0</v>
      </c>
      <c r="F55" s="126">
        <v>0</v>
      </c>
      <c r="G55" s="127">
        <v>0</v>
      </c>
      <c r="H55" s="306">
        <v>0</v>
      </c>
      <c r="I55" s="306">
        <v>0</v>
      </c>
      <c r="J55" s="128">
        <v>0</v>
      </c>
    </row>
    <row r="56" spans="1:10" ht="15.75" thickBot="1" x14ac:dyDescent="0.3">
      <c r="A56" s="748" t="s">
        <v>83</v>
      </c>
      <c r="B56" s="749"/>
      <c r="C56" s="749"/>
      <c r="D56" s="82"/>
      <c r="E56" s="78">
        <f t="shared" ref="E56:J56" si="5">E57+E78</f>
        <v>105299776</v>
      </c>
      <c r="F56" s="79">
        <f t="shared" si="5"/>
        <v>7400000</v>
      </c>
      <c r="G56" s="79">
        <f t="shared" si="5"/>
        <v>1360000</v>
      </c>
      <c r="H56" s="299">
        <f t="shared" si="5"/>
        <v>96539776</v>
      </c>
      <c r="I56" s="299">
        <f t="shared" si="5"/>
        <v>0</v>
      </c>
      <c r="J56" s="80">
        <f t="shared" si="5"/>
        <v>0</v>
      </c>
    </row>
    <row r="57" spans="1:10" ht="15.75" outlineLevel="1" thickBot="1" x14ac:dyDescent="0.3">
      <c r="A57" s="17" t="s">
        <v>110</v>
      </c>
      <c r="B57" s="17"/>
      <c r="C57" s="17"/>
      <c r="D57" s="28"/>
      <c r="E57" s="138">
        <f t="shared" ref="E57:J57" si="6">SUM(E58:E77)</f>
        <v>74000000</v>
      </c>
      <c r="F57" s="139">
        <f t="shared" si="6"/>
        <v>0</v>
      </c>
      <c r="G57" s="139">
        <f t="shared" si="6"/>
        <v>0</v>
      </c>
      <c r="H57" s="307">
        <f t="shared" si="6"/>
        <v>74000000</v>
      </c>
      <c r="I57" s="307">
        <f t="shared" si="6"/>
        <v>0</v>
      </c>
      <c r="J57" s="36">
        <f t="shared" si="6"/>
        <v>0</v>
      </c>
    </row>
    <row r="58" spans="1:10" outlineLevel="2" x14ac:dyDescent="0.25">
      <c r="A58" s="750" t="s">
        <v>84</v>
      </c>
      <c r="B58" s="751" t="s">
        <v>85</v>
      </c>
      <c r="C58" s="751">
        <v>635009</v>
      </c>
      <c r="D58" s="68" t="s">
        <v>25</v>
      </c>
      <c r="E58" s="65">
        <f t="shared" ref="E58:E77" si="7">SUM(F58:J58)</f>
        <v>9000000</v>
      </c>
      <c r="F58" s="129">
        <v>0</v>
      </c>
      <c r="G58" s="130">
        <v>0</v>
      </c>
      <c r="H58" s="300">
        <v>9000000</v>
      </c>
      <c r="I58" s="300">
        <v>0</v>
      </c>
      <c r="J58" s="135">
        <v>0</v>
      </c>
    </row>
    <row r="59" spans="1:10" outlineLevel="2" x14ac:dyDescent="0.25">
      <c r="A59" s="750"/>
      <c r="B59" s="751"/>
      <c r="C59" s="751"/>
      <c r="D59" s="69" t="s">
        <v>26</v>
      </c>
      <c r="E59" s="66">
        <f t="shared" si="7"/>
        <v>9000000</v>
      </c>
      <c r="F59" s="131">
        <v>0</v>
      </c>
      <c r="G59" s="132">
        <v>0</v>
      </c>
      <c r="H59" s="301">
        <v>9000000</v>
      </c>
      <c r="I59" s="301">
        <v>0</v>
      </c>
      <c r="J59" s="136">
        <v>0</v>
      </c>
    </row>
    <row r="60" spans="1:10" outlineLevel="2" x14ac:dyDescent="0.25">
      <c r="A60" s="750"/>
      <c r="B60" s="751"/>
      <c r="C60" s="751"/>
      <c r="D60" s="69" t="s">
        <v>27</v>
      </c>
      <c r="E60" s="66">
        <f t="shared" si="7"/>
        <v>7000000</v>
      </c>
      <c r="F60" s="131">
        <v>0</v>
      </c>
      <c r="G60" s="132">
        <v>0</v>
      </c>
      <c r="H60" s="301">
        <v>7000000</v>
      </c>
      <c r="I60" s="301">
        <v>0</v>
      </c>
      <c r="J60" s="136">
        <v>0</v>
      </c>
    </row>
    <row r="61" spans="1:10" outlineLevel="2" x14ac:dyDescent="0.25">
      <c r="A61" s="750"/>
      <c r="B61" s="751"/>
      <c r="C61" s="751"/>
      <c r="D61" s="69" t="s">
        <v>28</v>
      </c>
      <c r="E61" s="66">
        <f t="shared" si="7"/>
        <v>7000000</v>
      </c>
      <c r="F61" s="131">
        <v>0</v>
      </c>
      <c r="G61" s="132">
        <v>0</v>
      </c>
      <c r="H61" s="301">
        <v>7000000</v>
      </c>
      <c r="I61" s="301">
        <v>0</v>
      </c>
      <c r="J61" s="136">
        <v>0</v>
      </c>
    </row>
    <row r="62" spans="1:10" outlineLevel="2" x14ac:dyDescent="0.25">
      <c r="A62" s="750"/>
      <c r="B62" s="751"/>
      <c r="C62" s="751"/>
      <c r="D62" s="69" t="s">
        <v>29</v>
      </c>
      <c r="E62" s="66">
        <f t="shared" si="7"/>
        <v>7000000</v>
      </c>
      <c r="F62" s="131">
        <v>0</v>
      </c>
      <c r="G62" s="132">
        <v>0</v>
      </c>
      <c r="H62" s="301">
        <v>7000000</v>
      </c>
      <c r="I62" s="301">
        <v>0</v>
      </c>
      <c r="J62" s="136">
        <v>0</v>
      </c>
    </row>
    <row r="63" spans="1:10" outlineLevel="2" x14ac:dyDescent="0.25">
      <c r="A63" s="750"/>
      <c r="B63" s="751"/>
      <c r="C63" s="751"/>
      <c r="D63" s="69" t="s">
        <v>30</v>
      </c>
      <c r="E63" s="66">
        <f t="shared" si="7"/>
        <v>7000000</v>
      </c>
      <c r="F63" s="131">
        <v>0</v>
      </c>
      <c r="G63" s="132">
        <v>0</v>
      </c>
      <c r="H63" s="301">
        <v>7000000</v>
      </c>
      <c r="I63" s="301">
        <v>0</v>
      </c>
      <c r="J63" s="136">
        <v>0</v>
      </c>
    </row>
    <row r="64" spans="1:10" outlineLevel="2" x14ac:dyDescent="0.25">
      <c r="A64" s="750"/>
      <c r="B64" s="751"/>
      <c r="C64" s="751"/>
      <c r="D64" s="69" t="s">
        <v>31</v>
      </c>
      <c r="E64" s="66">
        <f t="shared" si="7"/>
        <v>7000000</v>
      </c>
      <c r="F64" s="131">
        <v>0</v>
      </c>
      <c r="G64" s="132">
        <v>0</v>
      </c>
      <c r="H64" s="301">
        <v>7000000</v>
      </c>
      <c r="I64" s="301">
        <v>0</v>
      </c>
      <c r="J64" s="136">
        <v>0</v>
      </c>
    </row>
    <row r="65" spans="1:10" outlineLevel="2" x14ac:dyDescent="0.25">
      <c r="A65" s="750"/>
      <c r="B65" s="751"/>
      <c r="C65" s="751"/>
      <c r="D65" s="69" t="s">
        <v>32</v>
      </c>
      <c r="E65" s="66">
        <f t="shared" si="7"/>
        <v>7000000</v>
      </c>
      <c r="F65" s="131">
        <v>0</v>
      </c>
      <c r="G65" s="132">
        <v>0</v>
      </c>
      <c r="H65" s="301">
        <v>7000000</v>
      </c>
      <c r="I65" s="301">
        <v>0</v>
      </c>
      <c r="J65" s="136">
        <v>0</v>
      </c>
    </row>
    <row r="66" spans="1:10" outlineLevel="2" x14ac:dyDescent="0.25">
      <c r="A66" s="750"/>
      <c r="B66" s="751"/>
      <c r="C66" s="751"/>
      <c r="D66" s="69" t="s">
        <v>33</v>
      </c>
      <c r="E66" s="66">
        <f t="shared" si="7"/>
        <v>7000000</v>
      </c>
      <c r="F66" s="131">
        <v>0</v>
      </c>
      <c r="G66" s="132">
        <v>0</v>
      </c>
      <c r="H66" s="301">
        <v>7000000</v>
      </c>
      <c r="I66" s="301">
        <v>0</v>
      </c>
      <c r="J66" s="136">
        <v>0</v>
      </c>
    </row>
    <row r="67" spans="1:10" ht="15.75" outlineLevel="2" thickBot="1" x14ac:dyDescent="0.3">
      <c r="A67" s="750"/>
      <c r="B67" s="751"/>
      <c r="C67" s="751"/>
      <c r="D67" s="70" t="s">
        <v>34</v>
      </c>
      <c r="E67" s="67">
        <f t="shared" si="7"/>
        <v>7000000</v>
      </c>
      <c r="F67" s="133">
        <v>0</v>
      </c>
      <c r="G67" s="134">
        <v>0</v>
      </c>
      <c r="H67" s="302">
        <v>7000000</v>
      </c>
      <c r="I67" s="302">
        <v>0</v>
      </c>
      <c r="J67" s="137">
        <v>0</v>
      </c>
    </row>
    <row r="68" spans="1:10" outlineLevel="2" x14ac:dyDescent="0.25">
      <c r="A68" s="750" t="s">
        <v>86</v>
      </c>
      <c r="B68" s="751" t="s">
        <v>77</v>
      </c>
      <c r="C68" s="751">
        <v>718006</v>
      </c>
      <c r="D68" s="68" t="s">
        <v>25</v>
      </c>
      <c r="E68" s="66">
        <f t="shared" si="7"/>
        <v>0</v>
      </c>
      <c r="F68" s="129">
        <v>0</v>
      </c>
      <c r="G68" s="130">
        <v>0</v>
      </c>
      <c r="H68" s="300">
        <v>0</v>
      </c>
      <c r="I68" s="300">
        <v>0</v>
      </c>
      <c r="J68" s="135">
        <v>0</v>
      </c>
    </row>
    <row r="69" spans="1:10" outlineLevel="2" x14ac:dyDescent="0.25">
      <c r="A69" s="750"/>
      <c r="B69" s="751"/>
      <c r="C69" s="751"/>
      <c r="D69" s="69" t="s">
        <v>26</v>
      </c>
      <c r="E69" s="66">
        <f t="shared" si="7"/>
        <v>0</v>
      </c>
      <c r="F69" s="131">
        <v>0</v>
      </c>
      <c r="G69" s="132">
        <v>0</v>
      </c>
      <c r="H69" s="301">
        <v>0</v>
      </c>
      <c r="I69" s="301">
        <v>0</v>
      </c>
      <c r="J69" s="136">
        <v>0</v>
      </c>
    </row>
    <row r="70" spans="1:10" outlineLevel="2" x14ac:dyDescent="0.25">
      <c r="A70" s="750"/>
      <c r="B70" s="751"/>
      <c r="C70" s="751"/>
      <c r="D70" s="69" t="s">
        <v>27</v>
      </c>
      <c r="E70" s="66">
        <f t="shared" si="7"/>
        <v>0</v>
      </c>
      <c r="F70" s="131">
        <v>0</v>
      </c>
      <c r="G70" s="132">
        <v>0</v>
      </c>
      <c r="H70" s="301">
        <v>0</v>
      </c>
      <c r="I70" s="301">
        <v>0</v>
      </c>
      <c r="J70" s="136">
        <v>0</v>
      </c>
    </row>
    <row r="71" spans="1:10" outlineLevel="2" x14ac:dyDescent="0.25">
      <c r="A71" s="750"/>
      <c r="B71" s="751"/>
      <c r="C71" s="751"/>
      <c r="D71" s="69" t="s">
        <v>28</v>
      </c>
      <c r="E71" s="66">
        <f t="shared" si="7"/>
        <v>0</v>
      </c>
      <c r="F71" s="131">
        <v>0</v>
      </c>
      <c r="G71" s="132">
        <v>0</v>
      </c>
      <c r="H71" s="301">
        <v>0</v>
      </c>
      <c r="I71" s="301">
        <v>0</v>
      </c>
      <c r="J71" s="136">
        <v>0</v>
      </c>
    </row>
    <row r="72" spans="1:10" outlineLevel="2" x14ac:dyDescent="0.25">
      <c r="A72" s="750"/>
      <c r="B72" s="751"/>
      <c r="C72" s="751"/>
      <c r="D72" s="69" t="s">
        <v>29</v>
      </c>
      <c r="E72" s="66">
        <f t="shared" si="7"/>
        <v>0</v>
      </c>
      <c r="F72" s="131">
        <v>0</v>
      </c>
      <c r="G72" s="132">
        <v>0</v>
      </c>
      <c r="H72" s="301">
        <v>0</v>
      </c>
      <c r="I72" s="301">
        <v>0</v>
      </c>
      <c r="J72" s="136">
        <v>0</v>
      </c>
    </row>
    <row r="73" spans="1:10" outlineLevel="2" x14ac:dyDescent="0.25">
      <c r="A73" s="750"/>
      <c r="B73" s="751"/>
      <c r="C73" s="751"/>
      <c r="D73" s="69" t="s">
        <v>30</v>
      </c>
      <c r="E73" s="66">
        <f t="shared" si="7"/>
        <v>0</v>
      </c>
      <c r="F73" s="131">
        <v>0</v>
      </c>
      <c r="G73" s="132">
        <v>0</v>
      </c>
      <c r="H73" s="301">
        <v>0</v>
      </c>
      <c r="I73" s="301">
        <v>0</v>
      </c>
      <c r="J73" s="136">
        <v>0</v>
      </c>
    </row>
    <row r="74" spans="1:10" outlineLevel="2" x14ac:dyDescent="0.25">
      <c r="A74" s="750"/>
      <c r="B74" s="751"/>
      <c r="C74" s="751"/>
      <c r="D74" s="69" t="s">
        <v>31</v>
      </c>
      <c r="E74" s="66">
        <f t="shared" si="7"/>
        <v>0</v>
      </c>
      <c r="F74" s="131">
        <v>0</v>
      </c>
      <c r="G74" s="132">
        <v>0</v>
      </c>
      <c r="H74" s="301">
        <v>0</v>
      </c>
      <c r="I74" s="301">
        <v>0</v>
      </c>
      <c r="J74" s="136">
        <v>0</v>
      </c>
    </row>
    <row r="75" spans="1:10" outlineLevel="2" x14ac:dyDescent="0.25">
      <c r="A75" s="750"/>
      <c r="B75" s="751"/>
      <c r="C75" s="751"/>
      <c r="D75" s="69" t="s">
        <v>32</v>
      </c>
      <c r="E75" s="66">
        <f t="shared" si="7"/>
        <v>0</v>
      </c>
      <c r="F75" s="131">
        <v>0</v>
      </c>
      <c r="G75" s="132">
        <v>0</v>
      </c>
      <c r="H75" s="301">
        <v>0</v>
      </c>
      <c r="I75" s="301">
        <v>0</v>
      </c>
      <c r="J75" s="136">
        <v>0</v>
      </c>
    </row>
    <row r="76" spans="1:10" outlineLevel="2" x14ac:dyDescent="0.25">
      <c r="A76" s="750"/>
      <c r="B76" s="751"/>
      <c r="C76" s="751"/>
      <c r="D76" s="69" t="s">
        <v>33</v>
      </c>
      <c r="E76" s="66">
        <f t="shared" si="7"/>
        <v>0</v>
      </c>
      <c r="F76" s="131">
        <v>0</v>
      </c>
      <c r="G76" s="132">
        <v>0</v>
      </c>
      <c r="H76" s="301">
        <v>0</v>
      </c>
      <c r="I76" s="301">
        <v>0</v>
      </c>
      <c r="J76" s="136">
        <v>0</v>
      </c>
    </row>
    <row r="77" spans="1:10" ht="15.75" outlineLevel="2" thickBot="1" x14ac:dyDescent="0.3">
      <c r="A77" s="750"/>
      <c r="B77" s="751"/>
      <c r="C77" s="751"/>
      <c r="D77" s="70" t="s">
        <v>34</v>
      </c>
      <c r="E77" s="67">
        <f t="shared" si="7"/>
        <v>0</v>
      </c>
      <c r="F77" s="133">
        <v>0</v>
      </c>
      <c r="G77" s="134">
        <v>0</v>
      </c>
      <c r="H77" s="302">
        <v>0</v>
      </c>
      <c r="I77" s="302">
        <v>0</v>
      </c>
      <c r="J77" s="137">
        <v>0</v>
      </c>
    </row>
    <row r="78" spans="1:10" ht="15.75" outlineLevel="1" thickBot="1" x14ac:dyDescent="0.3">
      <c r="A78" s="17" t="s">
        <v>111</v>
      </c>
      <c r="B78" s="17"/>
      <c r="C78" s="17"/>
      <c r="D78" s="28"/>
      <c r="E78" s="140">
        <f t="shared" ref="E78:J78" si="8">SUM(E79:E128)</f>
        <v>31299776</v>
      </c>
      <c r="F78" s="141">
        <f t="shared" si="8"/>
        <v>7400000</v>
      </c>
      <c r="G78" s="141">
        <f t="shared" si="8"/>
        <v>1360000</v>
      </c>
      <c r="H78" s="308">
        <f t="shared" si="8"/>
        <v>22539776</v>
      </c>
      <c r="I78" s="308">
        <f t="shared" si="8"/>
        <v>0</v>
      </c>
      <c r="J78" s="142">
        <f t="shared" si="8"/>
        <v>0</v>
      </c>
    </row>
    <row r="79" spans="1:10" outlineLevel="2" x14ac:dyDescent="0.25">
      <c r="A79" s="750" t="s">
        <v>87</v>
      </c>
      <c r="B79" s="751" t="s">
        <v>85</v>
      </c>
      <c r="C79" s="751">
        <v>635009</v>
      </c>
      <c r="D79" s="68" t="s">
        <v>25</v>
      </c>
      <c r="E79" s="72">
        <f t="shared" ref="E79:E128" si="9">SUM(F79:J79)</f>
        <v>0</v>
      </c>
      <c r="F79" s="120">
        <v>0</v>
      </c>
      <c r="G79" s="121">
        <v>0</v>
      </c>
      <c r="H79" s="304">
        <v>0</v>
      </c>
      <c r="I79" s="304">
        <v>0</v>
      </c>
      <c r="J79" s="122">
        <v>0</v>
      </c>
    </row>
    <row r="80" spans="1:10" outlineLevel="2" x14ac:dyDescent="0.25">
      <c r="A80" s="750"/>
      <c r="B80" s="751"/>
      <c r="C80" s="751"/>
      <c r="D80" s="69" t="s">
        <v>26</v>
      </c>
      <c r="E80" s="73">
        <f t="shared" si="9"/>
        <v>0</v>
      </c>
      <c r="F80" s="123">
        <v>0</v>
      </c>
      <c r="G80" s="124">
        <v>0</v>
      </c>
      <c r="H80" s="305">
        <v>0</v>
      </c>
      <c r="I80" s="305">
        <v>0</v>
      </c>
      <c r="J80" s="125">
        <v>0</v>
      </c>
    </row>
    <row r="81" spans="1:10" outlineLevel="2" x14ac:dyDescent="0.25">
      <c r="A81" s="750"/>
      <c r="B81" s="751"/>
      <c r="C81" s="751"/>
      <c r="D81" s="69" t="s">
        <v>27</v>
      </c>
      <c r="E81" s="73">
        <f t="shared" si="9"/>
        <v>1495000</v>
      </c>
      <c r="F81" s="123">
        <v>925000</v>
      </c>
      <c r="G81" s="124">
        <v>170000</v>
      </c>
      <c r="H81" s="305">
        <v>400000</v>
      </c>
      <c r="I81" s="305">
        <v>0</v>
      </c>
      <c r="J81" s="125">
        <v>0</v>
      </c>
    </row>
    <row r="82" spans="1:10" outlineLevel="2" x14ac:dyDescent="0.25">
      <c r="A82" s="750"/>
      <c r="B82" s="751"/>
      <c r="C82" s="751"/>
      <c r="D82" s="69" t="s">
        <v>28</v>
      </c>
      <c r="E82" s="73">
        <f t="shared" si="9"/>
        <v>1495000</v>
      </c>
      <c r="F82" s="123">
        <v>925000</v>
      </c>
      <c r="G82" s="124">
        <v>170000</v>
      </c>
      <c r="H82" s="305">
        <v>400000</v>
      </c>
      <c r="I82" s="305">
        <v>0</v>
      </c>
      <c r="J82" s="125">
        <v>0</v>
      </c>
    </row>
    <row r="83" spans="1:10" outlineLevel="2" x14ac:dyDescent="0.25">
      <c r="A83" s="750"/>
      <c r="B83" s="751"/>
      <c r="C83" s="751"/>
      <c r="D83" s="69" t="s">
        <v>29</v>
      </c>
      <c r="E83" s="73">
        <f t="shared" si="9"/>
        <v>1495000</v>
      </c>
      <c r="F83" s="123">
        <v>925000</v>
      </c>
      <c r="G83" s="124">
        <v>170000</v>
      </c>
      <c r="H83" s="305">
        <v>400000</v>
      </c>
      <c r="I83" s="305">
        <v>0</v>
      </c>
      <c r="J83" s="125">
        <v>0</v>
      </c>
    </row>
    <row r="84" spans="1:10" outlineLevel="2" x14ac:dyDescent="0.25">
      <c r="A84" s="750"/>
      <c r="B84" s="751"/>
      <c r="C84" s="751"/>
      <c r="D84" s="69" t="s">
        <v>30</v>
      </c>
      <c r="E84" s="73">
        <f t="shared" si="9"/>
        <v>1495000</v>
      </c>
      <c r="F84" s="123">
        <v>925000</v>
      </c>
      <c r="G84" s="124">
        <v>170000</v>
      </c>
      <c r="H84" s="305">
        <v>400000</v>
      </c>
      <c r="I84" s="305">
        <v>0</v>
      </c>
      <c r="J84" s="125">
        <v>0</v>
      </c>
    </row>
    <row r="85" spans="1:10" outlineLevel="2" x14ac:dyDescent="0.25">
      <c r="A85" s="750"/>
      <c r="B85" s="751"/>
      <c r="C85" s="751"/>
      <c r="D85" s="69" t="s">
        <v>31</v>
      </c>
      <c r="E85" s="73">
        <f t="shared" si="9"/>
        <v>1495000</v>
      </c>
      <c r="F85" s="123">
        <v>925000</v>
      </c>
      <c r="G85" s="124">
        <v>170000</v>
      </c>
      <c r="H85" s="305">
        <v>400000</v>
      </c>
      <c r="I85" s="305">
        <v>0</v>
      </c>
      <c r="J85" s="125">
        <v>0</v>
      </c>
    </row>
    <row r="86" spans="1:10" outlineLevel="2" x14ac:dyDescent="0.25">
      <c r="A86" s="750"/>
      <c r="B86" s="751"/>
      <c r="C86" s="751"/>
      <c r="D86" s="69" t="s">
        <v>32</v>
      </c>
      <c r="E86" s="73">
        <f t="shared" si="9"/>
        <v>1495000</v>
      </c>
      <c r="F86" s="123">
        <v>925000</v>
      </c>
      <c r="G86" s="124">
        <v>170000</v>
      </c>
      <c r="H86" s="305">
        <v>400000</v>
      </c>
      <c r="I86" s="305">
        <v>0</v>
      </c>
      <c r="J86" s="125">
        <v>0</v>
      </c>
    </row>
    <row r="87" spans="1:10" outlineLevel="2" x14ac:dyDescent="0.25">
      <c r="A87" s="750"/>
      <c r="B87" s="751"/>
      <c r="C87" s="751"/>
      <c r="D87" s="69" t="s">
        <v>33</v>
      </c>
      <c r="E87" s="73">
        <f t="shared" si="9"/>
        <v>1495000</v>
      </c>
      <c r="F87" s="123">
        <v>925000</v>
      </c>
      <c r="G87" s="124">
        <v>170000</v>
      </c>
      <c r="H87" s="305">
        <v>400000</v>
      </c>
      <c r="I87" s="305">
        <v>0</v>
      </c>
      <c r="J87" s="125">
        <v>0</v>
      </c>
    </row>
    <row r="88" spans="1:10" ht="15.75" outlineLevel="2" thickBot="1" x14ac:dyDescent="0.3">
      <c r="A88" s="750"/>
      <c r="B88" s="751"/>
      <c r="C88" s="751"/>
      <c r="D88" s="70" t="s">
        <v>34</v>
      </c>
      <c r="E88" s="74">
        <f t="shared" si="9"/>
        <v>1495000</v>
      </c>
      <c r="F88" s="126">
        <v>925000</v>
      </c>
      <c r="G88" s="127">
        <v>170000</v>
      </c>
      <c r="H88" s="306">
        <v>400000</v>
      </c>
      <c r="I88" s="306">
        <v>0</v>
      </c>
      <c r="J88" s="128">
        <v>0</v>
      </c>
    </row>
    <row r="89" spans="1:10" outlineLevel="2" x14ac:dyDescent="0.25">
      <c r="A89" s="750" t="s">
        <v>88</v>
      </c>
      <c r="B89" s="751" t="s">
        <v>82</v>
      </c>
      <c r="C89" s="751">
        <v>637005</v>
      </c>
      <c r="D89" s="68" t="s">
        <v>25</v>
      </c>
      <c r="E89" s="73">
        <f t="shared" si="9"/>
        <v>0</v>
      </c>
      <c r="F89" s="120">
        <v>0</v>
      </c>
      <c r="G89" s="121">
        <v>0</v>
      </c>
      <c r="H89" s="304">
        <v>0</v>
      </c>
      <c r="I89" s="304">
        <v>0</v>
      </c>
      <c r="J89" s="122">
        <v>0</v>
      </c>
    </row>
    <row r="90" spans="1:10" outlineLevel="2" x14ac:dyDescent="0.25">
      <c r="A90" s="750"/>
      <c r="B90" s="751"/>
      <c r="C90" s="751"/>
      <c r="D90" s="69" t="s">
        <v>26</v>
      </c>
      <c r="E90" s="73">
        <f t="shared" si="9"/>
        <v>0</v>
      </c>
      <c r="F90" s="123">
        <v>0</v>
      </c>
      <c r="G90" s="124">
        <v>0</v>
      </c>
      <c r="H90" s="305">
        <v>0</v>
      </c>
      <c r="I90" s="305">
        <v>0</v>
      </c>
      <c r="J90" s="125">
        <v>0</v>
      </c>
    </row>
    <row r="91" spans="1:10" outlineLevel="2" x14ac:dyDescent="0.25">
      <c r="A91" s="750"/>
      <c r="B91" s="751"/>
      <c r="C91" s="751"/>
      <c r="D91" s="69" t="s">
        <v>27</v>
      </c>
      <c r="E91" s="73">
        <f t="shared" si="9"/>
        <v>0</v>
      </c>
      <c r="F91" s="123">
        <v>0</v>
      </c>
      <c r="G91" s="124">
        <v>0</v>
      </c>
      <c r="H91" s="305">
        <v>0</v>
      </c>
      <c r="I91" s="305">
        <v>0</v>
      </c>
      <c r="J91" s="125">
        <v>0</v>
      </c>
    </row>
    <row r="92" spans="1:10" outlineLevel="2" x14ac:dyDescent="0.25">
      <c r="A92" s="750"/>
      <c r="B92" s="751"/>
      <c r="C92" s="751"/>
      <c r="D92" s="69" t="s">
        <v>28</v>
      </c>
      <c r="E92" s="73">
        <f t="shared" si="9"/>
        <v>0</v>
      </c>
      <c r="F92" s="123">
        <v>0</v>
      </c>
      <c r="G92" s="124">
        <v>0</v>
      </c>
      <c r="H92" s="305">
        <v>0</v>
      </c>
      <c r="I92" s="305">
        <v>0</v>
      </c>
      <c r="J92" s="125">
        <v>0</v>
      </c>
    </row>
    <row r="93" spans="1:10" outlineLevel="2" x14ac:dyDescent="0.25">
      <c r="A93" s="750"/>
      <c r="B93" s="751"/>
      <c r="C93" s="751"/>
      <c r="D93" s="69" t="s">
        <v>29</v>
      </c>
      <c r="E93" s="73">
        <f t="shared" si="9"/>
        <v>0</v>
      </c>
      <c r="F93" s="123">
        <v>0</v>
      </c>
      <c r="G93" s="124">
        <v>0</v>
      </c>
      <c r="H93" s="305">
        <v>0</v>
      </c>
      <c r="I93" s="305">
        <v>0</v>
      </c>
      <c r="J93" s="125">
        <v>0</v>
      </c>
    </row>
    <row r="94" spans="1:10" outlineLevel="2" x14ac:dyDescent="0.25">
      <c r="A94" s="750"/>
      <c r="B94" s="751"/>
      <c r="C94" s="751"/>
      <c r="D94" s="69" t="s">
        <v>30</v>
      </c>
      <c r="E94" s="73">
        <f t="shared" si="9"/>
        <v>0</v>
      </c>
      <c r="F94" s="123">
        <v>0</v>
      </c>
      <c r="G94" s="124">
        <v>0</v>
      </c>
      <c r="H94" s="305">
        <v>0</v>
      </c>
      <c r="I94" s="305">
        <v>0</v>
      </c>
      <c r="J94" s="125">
        <v>0</v>
      </c>
    </row>
    <row r="95" spans="1:10" outlineLevel="2" x14ac:dyDescent="0.25">
      <c r="A95" s="750"/>
      <c r="B95" s="751"/>
      <c r="C95" s="751"/>
      <c r="D95" s="69" t="s">
        <v>31</v>
      </c>
      <c r="E95" s="73">
        <f t="shared" si="9"/>
        <v>0</v>
      </c>
      <c r="F95" s="123">
        <v>0</v>
      </c>
      <c r="G95" s="124">
        <v>0</v>
      </c>
      <c r="H95" s="305">
        <v>0</v>
      </c>
      <c r="I95" s="305">
        <v>0</v>
      </c>
      <c r="J95" s="125">
        <v>0</v>
      </c>
    </row>
    <row r="96" spans="1:10" outlineLevel="2" x14ac:dyDescent="0.25">
      <c r="A96" s="750"/>
      <c r="B96" s="751"/>
      <c r="C96" s="751"/>
      <c r="D96" s="69" t="s">
        <v>32</v>
      </c>
      <c r="E96" s="73">
        <f t="shared" si="9"/>
        <v>0</v>
      </c>
      <c r="F96" s="123">
        <v>0</v>
      </c>
      <c r="G96" s="124">
        <v>0</v>
      </c>
      <c r="H96" s="305">
        <v>0</v>
      </c>
      <c r="I96" s="305">
        <v>0</v>
      </c>
      <c r="J96" s="125">
        <v>0</v>
      </c>
    </row>
    <row r="97" spans="1:10" outlineLevel="2" x14ac:dyDescent="0.25">
      <c r="A97" s="750"/>
      <c r="B97" s="751"/>
      <c r="C97" s="751"/>
      <c r="D97" s="69" t="s">
        <v>33</v>
      </c>
      <c r="E97" s="73">
        <f t="shared" si="9"/>
        <v>0</v>
      </c>
      <c r="F97" s="123">
        <v>0</v>
      </c>
      <c r="G97" s="124">
        <v>0</v>
      </c>
      <c r="H97" s="305">
        <v>0</v>
      </c>
      <c r="I97" s="305">
        <v>0</v>
      </c>
      <c r="J97" s="125">
        <v>0</v>
      </c>
    </row>
    <row r="98" spans="1:10" ht="15.75" outlineLevel="2" thickBot="1" x14ac:dyDescent="0.3">
      <c r="A98" s="750"/>
      <c r="B98" s="751"/>
      <c r="C98" s="751"/>
      <c r="D98" s="70" t="s">
        <v>34</v>
      </c>
      <c r="E98" s="74">
        <f t="shared" si="9"/>
        <v>0</v>
      </c>
      <c r="F98" s="126">
        <v>0</v>
      </c>
      <c r="G98" s="127">
        <v>0</v>
      </c>
      <c r="H98" s="306">
        <v>0</v>
      </c>
      <c r="I98" s="306">
        <v>0</v>
      </c>
      <c r="J98" s="128">
        <v>0</v>
      </c>
    </row>
    <row r="99" spans="1:10" outlineLevel="2" x14ac:dyDescent="0.25">
      <c r="A99" s="750" t="s">
        <v>89</v>
      </c>
      <c r="B99" s="751" t="s">
        <v>77</v>
      </c>
      <c r="C99" s="751">
        <v>718006</v>
      </c>
      <c r="D99" s="68" t="s">
        <v>25</v>
      </c>
      <c r="E99" s="73">
        <f t="shared" si="9"/>
        <v>0</v>
      </c>
      <c r="F99" s="120">
        <v>0</v>
      </c>
      <c r="G99" s="121">
        <v>0</v>
      </c>
      <c r="H99" s="304">
        <v>0</v>
      </c>
      <c r="I99" s="304">
        <v>0</v>
      </c>
      <c r="J99" s="122">
        <v>0</v>
      </c>
    </row>
    <row r="100" spans="1:10" outlineLevel="2" x14ac:dyDescent="0.25">
      <c r="A100" s="750"/>
      <c r="B100" s="751"/>
      <c r="C100" s="751"/>
      <c r="D100" s="69" t="s">
        <v>26</v>
      </c>
      <c r="E100" s="73">
        <f t="shared" si="9"/>
        <v>0</v>
      </c>
      <c r="F100" s="123">
        <v>0</v>
      </c>
      <c r="G100" s="124">
        <v>0</v>
      </c>
      <c r="H100" s="305">
        <v>0</v>
      </c>
      <c r="I100" s="305">
        <v>0</v>
      </c>
      <c r="J100" s="125">
        <v>0</v>
      </c>
    </row>
    <row r="101" spans="1:10" outlineLevel="2" x14ac:dyDescent="0.25">
      <c r="A101" s="750"/>
      <c r="B101" s="751"/>
      <c r="C101" s="751"/>
      <c r="D101" s="69" t="s">
        <v>27</v>
      </c>
      <c r="E101" s="73">
        <f t="shared" si="9"/>
        <v>0</v>
      </c>
      <c r="F101" s="123">
        <v>0</v>
      </c>
      <c r="G101" s="124">
        <v>0</v>
      </c>
      <c r="H101" s="305">
        <v>0</v>
      </c>
      <c r="I101" s="305">
        <v>0</v>
      </c>
      <c r="J101" s="125">
        <v>0</v>
      </c>
    </row>
    <row r="102" spans="1:10" outlineLevel="2" x14ac:dyDescent="0.25">
      <c r="A102" s="750"/>
      <c r="B102" s="751"/>
      <c r="C102" s="751"/>
      <c r="D102" s="69" t="s">
        <v>28</v>
      </c>
      <c r="E102" s="73">
        <f t="shared" si="9"/>
        <v>0</v>
      </c>
      <c r="F102" s="123">
        <v>0</v>
      </c>
      <c r="G102" s="124">
        <v>0</v>
      </c>
      <c r="H102" s="305">
        <v>0</v>
      </c>
      <c r="I102" s="305">
        <v>0</v>
      </c>
      <c r="J102" s="125">
        <v>0</v>
      </c>
    </row>
    <row r="103" spans="1:10" outlineLevel="2" x14ac:dyDescent="0.25">
      <c r="A103" s="750"/>
      <c r="B103" s="751"/>
      <c r="C103" s="751"/>
      <c r="D103" s="69" t="s">
        <v>29</v>
      </c>
      <c r="E103" s="73">
        <f t="shared" si="9"/>
        <v>0</v>
      </c>
      <c r="F103" s="123">
        <v>0</v>
      </c>
      <c r="G103" s="124">
        <v>0</v>
      </c>
      <c r="H103" s="305">
        <v>0</v>
      </c>
      <c r="I103" s="305">
        <v>0</v>
      </c>
      <c r="J103" s="125">
        <v>0</v>
      </c>
    </row>
    <row r="104" spans="1:10" outlineLevel="2" x14ac:dyDescent="0.25">
      <c r="A104" s="750"/>
      <c r="B104" s="751"/>
      <c r="C104" s="751"/>
      <c r="D104" s="69" t="s">
        <v>30</v>
      </c>
      <c r="E104" s="73">
        <f t="shared" si="9"/>
        <v>0</v>
      </c>
      <c r="F104" s="123">
        <v>0</v>
      </c>
      <c r="G104" s="124">
        <v>0</v>
      </c>
      <c r="H104" s="305">
        <v>0</v>
      </c>
      <c r="I104" s="305">
        <v>0</v>
      </c>
      <c r="J104" s="125">
        <v>0</v>
      </c>
    </row>
    <row r="105" spans="1:10" outlineLevel="2" x14ac:dyDescent="0.25">
      <c r="A105" s="750"/>
      <c r="B105" s="751"/>
      <c r="C105" s="751"/>
      <c r="D105" s="69" t="s">
        <v>31</v>
      </c>
      <c r="E105" s="73">
        <f t="shared" si="9"/>
        <v>0</v>
      </c>
      <c r="F105" s="123">
        <v>0</v>
      </c>
      <c r="G105" s="124">
        <v>0</v>
      </c>
      <c r="H105" s="305">
        <v>0</v>
      </c>
      <c r="I105" s="305">
        <v>0</v>
      </c>
      <c r="J105" s="125">
        <v>0</v>
      </c>
    </row>
    <row r="106" spans="1:10" outlineLevel="2" x14ac:dyDescent="0.25">
      <c r="A106" s="750"/>
      <c r="B106" s="751"/>
      <c r="C106" s="751"/>
      <c r="D106" s="69" t="s">
        <v>32</v>
      </c>
      <c r="E106" s="73">
        <f t="shared" si="9"/>
        <v>0</v>
      </c>
      <c r="F106" s="123">
        <v>0</v>
      </c>
      <c r="G106" s="124">
        <v>0</v>
      </c>
      <c r="H106" s="305">
        <v>0</v>
      </c>
      <c r="I106" s="305">
        <v>0</v>
      </c>
      <c r="J106" s="125">
        <v>0</v>
      </c>
    </row>
    <row r="107" spans="1:10" outlineLevel="2" x14ac:dyDescent="0.25">
      <c r="A107" s="750"/>
      <c r="B107" s="751"/>
      <c r="C107" s="751"/>
      <c r="D107" s="69" t="s">
        <v>33</v>
      </c>
      <c r="E107" s="73">
        <f t="shared" si="9"/>
        <v>0</v>
      </c>
      <c r="F107" s="123">
        <v>0</v>
      </c>
      <c r="G107" s="124">
        <v>0</v>
      </c>
      <c r="H107" s="305">
        <v>0</v>
      </c>
      <c r="I107" s="305">
        <v>0</v>
      </c>
      <c r="J107" s="125">
        <v>0</v>
      </c>
    </row>
    <row r="108" spans="1:10" ht="15.75" outlineLevel="2" thickBot="1" x14ac:dyDescent="0.3">
      <c r="A108" s="750"/>
      <c r="B108" s="751"/>
      <c r="C108" s="751"/>
      <c r="D108" s="70" t="s">
        <v>34</v>
      </c>
      <c r="E108" s="74">
        <f t="shared" si="9"/>
        <v>0</v>
      </c>
      <c r="F108" s="126">
        <v>0</v>
      </c>
      <c r="G108" s="127">
        <v>0</v>
      </c>
      <c r="H108" s="306">
        <v>0</v>
      </c>
      <c r="I108" s="306">
        <v>0</v>
      </c>
      <c r="J108" s="128">
        <v>0</v>
      </c>
    </row>
    <row r="109" spans="1:10" outlineLevel="2" x14ac:dyDescent="0.25">
      <c r="A109" s="750" t="s">
        <v>90</v>
      </c>
      <c r="B109" s="751" t="s">
        <v>91</v>
      </c>
      <c r="C109" s="751">
        <v>610</v>
      </c>
      <c r="D109" s="68" t="s">
        <v>25</v>
      </c>
      <c r="E109" s="73">
        <f t="shared" si="9"/>
        <v>1492944</v>
      </c>
      <c r="F109" s="120">
        <v>0</v>
      </c>
      <c r="G109" s="121">
        <v>0</v>
      </c>
      <c r="H109" s="304">
        <v>1492944</v>
      </c>
      <c r="I109" s="304">
        <v>0</v>
      </c>
      <c r="J109" s="122">
        <v>0</v>
      </c>
    </row>
    <row r="110" spans="1:10" outlineLevel="2" x14ac:dyDescent="0.25">
      <c r="A110" s="750"/>
      <c r="B110" s="751"/>
      <c r="C110" s="751"/>
      <c r="D110" s="69" t="s">
        <v>26</v>
      </c>
      <c r="E110" s="73">
        <f t="shared" si="9"/>
        <v>1492944</v>
      </c>
      <c r="F110" s="123">
        <v>0</v>
      </c>
      <c r="G110" s="124">
        <v>0</v>
      </c>
      <c r="H110" s="305">
        <v>1492944</v>
      </c>
      <c r="I110" s="305">
        <v>0</v>
      </c>
      <c r="J110" s="125">
        <v>0</v>
      </c>
    </row>
    <row r="111" spans="1:10" outlineLevel="2" x14ac:dyDescent="0.25">
      <c r="A111" s="750"/>
      <c r="B111" s="751"/>
      <c r="C111" s="751"/>
      <c r="D111" s="69" t="s">
        <v>27</v>
      </c>
      <c r="E111" s="73">
        <f t="shared" si="9"/>
        <v>2044236</v>
      </c>
      <c r="F111" s="123">
        <v>0</v>
      </c>
      <c r="G111" s="124">
        <v>0</v>
      </c>
      <c r="H111" s="305">
        <v>2044236</v>
      </c>
      <c r="I111" s="305">
        <v>0</v>
      </c>
      <c r="J111" s="125">
        <v>0</v>
      </c>
    </row>
    <row r="112" spans="1:10" outlineLevel="2" x14ac:dyDescent="0.25">
      <c r="A112" s="750"/>
      <c r="B112" s="751"/>
      <c r="C112" s="751"/>
      <c r="D112" s="69" t="s">
        <v>28</v>
      </c>
      <c r="E112" s="73">
        <f t="shared" si="9"/>
        <v>2044236</v>
      </c>
      <c r="F112" s="123">
        <v>0</v>
      </c>
      <c r="G112" s="124">
        <v>0</v>
      </c>
      <c r="H112" s="305">
        <v>2044236</v>
      </c>
      <c r="I112" s="305">
        <v>0</v>
      </c>
      <c r="J112" s="125">
        <v>0</v>
      </c>
    </row>
    <row r="113" spans="1:10" outlineLevel="2" x14ac:dyDescent="0.25">
      <c r="A113" s="750"/>
      <c r="B113" s="751"/>
      <c r="C113" s="751"/>
      <c r="D113" s="69" t="s">
        <v>29</v>
      </c>
      <c r="E113" s="73">
        <f t="shared" si="9"/>
        <v>2044236</v>
      </c>
      <c r="F113" s="123">
        <v>0</v>
      </c>
      <c r="G113" s="124">
        <v>0</v>
      </c>
      <c r="H113" s="305">
        <v>2044236</v>
      </c>
      <c r="I113" s="305">
        <v>0</v>
      </c>
      <c r="J113" s="125">
        <v>0</v>
      </c>
    </row>
    <row r="114" spans="1:10" outlineLevel="2" x14ac:dyDescent="0.25">
      <c r="A114" s="750"/>
      <c r="B114" s="751"/>
      <c r="C114" s="751"/>
      <c r="D114" s="69" t="s">
        <v>30</v>
      </c>
      <c r="E114" s="73">
        <f t="shared" si="9"/>
        <v>2044236</v>
      </c>
      <c r="F114" s="123">
        <v>0</v>
      </c>
      <c r="G114" s="124">
        <v>0</v>
      </c>
      <c r="H114" s="305">
        <v>2044236</v>
      </c>
      <c r="I114" s="305">
        <v>0</v>
      </c>
      <c r="J114" s="125">
        <v>0</v>
      </c>
    </row>
    <row r="115" spans="1:10" outlineLevel="2" x14ac:dyDescent="0.25">
      <c r="A115" s="750"/>
      <c r="B115" s="751"/>
      <c r="C115" s="751"/>
      <c r="D115" s="69" t="s">
        <v>31</v>
      </c>
      <c r="E115" s="73">
        <f t="shared" si="9"/>
        <v>2044236</v>
      </c>
      <c r="F115" s="123">
        <v>0</v>
      </c>
      <c r="G115" s="124">
        <v>0</v>
      </c>
      <c r="H115" s="305">
        <v>2044236</v>
      </c>
      <c r="I115" s="305">
        <v>0</v>
      </c>
      <c r="J115" s="125">
        <v>0</v>
      </c>
    </row>
    <row r="116" spans="1:10" outlineLevel="2" x14ac:dyDescent="0.25">
      <c r="A116" s="750"/>
      <c r="B116" s="751"/>
      <c r="C116" s="751"/>
      <c r="D116" s="69" t="s">
        <v>32</v>
      </c>
      <c r="E116" s="73">
        <f t="shared" si="9"/>
        <v>2044236</v>
      </c>
      <c r="F116" s="123">
        <v>0</v>
      </c>
      <c r="G116" s="124">
        <v>0</v>
      </c>
      <c r="H116" s="305">
        <v>2044236</v>
      </c>
      <c r="I116" s="305">
        <v>0</v>
      </c>
      <c r="J116" s="125">
        <v>0</v>
      </c>
    </row>
    <row r="117" spans="1:10" outlineLevel="2" x14ac:dyDescent="0.25">
      <c r="A117" s="750"/>
      <c r="B117" s="751"/>
      <c r="C117" s="751"/>
      <c r="D117" s="69" t="s">
        <v>33</v>
      </c>
      <c r="E117" s="73">
        <f t="shared" si="9"/>
        <v>2044236</v>
      </c>
      <c r="F117" s="123">
        <v>0</v>
      </c>
      <c r="G117" s="124">
        <v>0</v>
      </c>
      <c r="H117" s="305">
        <v>2044236</v>
      </c>
      <c r="I117" s="305">
        <v>0</v>
      </c>
      <c r="J117" s="125">
        <v>0</v>
      </c>
    </row>
    <row r="118" spans="1:10" ht="15.75" outlineLevel="2" thickBot="1" x14ac:dyDescent="0.3">
      <c r="A118" s="750"/>
      <c r="B118" s="751"/>
      <c r="C118" s="751"/>
      <c r="D118" s="70" t="s">
        <v>34</v>
      </c>
      <c r="E118" s="74">
        <f t="shared" si="9"/>
        <v>2044236</v>
      </c>
      <c r="F118" s="126">
        <v>0</v>
      </c>
      <c r="G118" s="127">
        <v>0</v>
      </c>
      <c r="H118" s="306">
        <v>2044236</v>
      </c>
      <c r="I118" s="306">
        <v>0</v>
      </c>
      <c r="J118" s="128">
        <v>0</v>
      </c>
    </row>
    <row r="119" spans="1:10" outlineLevel="2" x14ac:dyDescent="0.25">
      <c r="A119" s="750" t="s">
        <v>81</v>
      </c>
      <c r="B119" s="751" t="s">
        <v>82</v>
      </c>
      <c r="C119" s="751">
        <v>637001</v>
      </c>
      <c r="D119" s="68" t="s">
        <v>25</v>
      </c>
      <c r="E119" s="73">
        <f t="shared" si="9"/>
        <v>0</v>
      </c>
      <c r="F119" s="120">
        <v>0</v>
      </c>
      <c r="G119" s="121">
        <v>0</v>
      </c>
      <c r="H119" s="304">
        <v>0</v>
      </c>
      <c r="I119" s="304">
        <v>0</v>
      </c>
      <c r="J119" s="122">
        <v>0</v>
      </c>
    </row>
    <row r="120" spans="1:10" outlineLevel="2" x14ac:dyDescent="0.25">
      <c r="A120" s="750"/>
      <c r="B120" s="751"/>
      <c r="C120" s="751"/>
      <c r="D120" s="69" t="s">
        <v>26</v>
      </c>
      <c r="E120" s="73">
        <f t="shared" si="9"/>
        <v>0</v>
      </c>
      <c r="F120" s="123">
        <v>0</v>
      </c>
      <c r="G120" s="124">
        <v>0</v>
      </c>
      <c r="H120" s="305">
        <v>0</v>
      </c>
      <c r="I120" s="305">
        <v>0</v>
      </c>
      <c r="J120" s="125">
        <v>0</v>
      </c>
    </row>
    <row r="121" spans="1:10" outlineLevel="2" x14ac:dyDescent="0.25">
      <c r="A121" s="750"/>
      <c r="B121" s="751"/>
      <c r="C121" s="751"/>
      <c r="D121" s="69" t="s">
        <v>27</v>
      </c>
      <c r="E121" s="73">
        <f t="shared" si="9"/>
        <v>0</v>
      </c>
      <c r="F121" s="123">
        <v>0</v>
      </c>
      <c r="G121" s="124">
        <v>0</v>
      </c>
      <c r="H121" s="305">
        <v>0</v>
      </c>
      <c r="I121" s="305">
        <v>0</v>
      </c>
      <c r="J121" s="125">
        <v>0</v>
      </c>
    </row>
    <row r="122" spans="1:10" outlineLevel="2" x14ac:dyDescent="0.25">
      <c r="A122" s="750"/>
      <c r="B122" s="751"/>
      <c r="C122" s="751"/>
      <c r="D122" s="69" t="s">
        <v>28</v>
      </c>
      <c r="E122" s="73">
        <f t="shared" si="9"/>
        <v>0</v>
      </c>
      <c r="F122" s="123">
        <v>0</v>
      </c>
      <c r="G122" s="124">
        <v>0</v>
      </c>
      <c r="H122" s="305">
        <v>0</v>
      </c>
      <c r="I122" s="305">
        <v>0</v>
      </c>
      <c r="J122" s="125">
        <v>0</v>
      </c>
    </row>
    <row r="123" spans="1:10" outlineLevel="2" x14ac:dyDescent="0.25">
      <c r="A123" s="750"/>
      <c r="B123" s="751"/>
      <c r="C123" s="751"/>
      <c r="D123" s="69" t="s">
        <v>29</v>
      </c>
      <c r="E123" s="73">
        <f t="shared" si="9"/>
        <v>0</v>
      </c>
      <c r="F123" s="123">
        <v>0</v>
      </c>
      <c r="G123" s="124">
        <v>0</v>
      </c>
      <c r="H123" s="305">
        <v>0</v>
      </c>
      <c r="I123" s="305">
        <v>0</v>
      </c>
      <c r="J123" s="125">
        <v>0</v>
      </c>
    </row>
    <row r="124" spans="1:10" outlineLevel="2" x14ac:dyDescent="0.25">
      <c r="A124" s="750"/>
      <c r="B124" s="751"/>
      <c r="C124" s="751"/>
      <c r="D124" s="69" t="s">
        <v>30</v>
      </c>
      <c r="E124" s="73">
        <f t="shared" si="9"/>
        <v>0</v>
      </c>
      <c r="F124" s="123">
        <v>0</v>
      </c>
      <c r="G124" s="124">
        <v>0</v>
      </c>
      <c r="H124" s="305">
        <v>0</v>
      </c>
      <c r="I124" s="305">
        <v>0</v>
      </c>
      <c r="J124" s="125">
        <v>0</v>
      </c>
    </row>
    <row r="125" spans="1:10" outlineLevel="2" x14ac:dyDescent="0.25">
      <c r="A125" s="750"/>
      <c r="B125" s="751"/>
      <c r="C125" s="751"/>
      <c r="D125" s="69" t="s">
        <v>31</v>
      </c>
      <c r="E125" s="73">
        <f t="shared" si="9"/>
        <v>0</v>
      </c>
      <c r="F125" s="123">
        <v>0</v>
      </c>
      <c r="G125" s="124">
        <v>0</v>
      </c>
      <c r="H125" s="305">
        <v>0</v>
      </c>
      <c r="I125" s="305">
        <v>0</v>
      </c>
      <c r="J125" s="125">
        <v>0</v>
      </c>
    </row>
    <row r="126" spans="1:10" outlineLevel="2" x14ac:dyDescent="0.25">
      <c r="A126" s="750"/>
      <c r="B126" s="751"/>
      <c r="C126" s="751"/>
      <c r="D126" s="69" t="s">
        <v>32</v>
      </c>
      <c r="E126" s="73">
        <f t="shared" si="9"/>
        <v>0</v>
      </c>
      <c r="F126" s="123">
        <v>0</v>
      </c>
      <c r="G126" s="124">
        <v>0</v>
      </c>
      <c r="H126" s="305">
        <v>0</v>
      </c>
      <c r="I126" s="305">
        <v>0</v>
      </c>
      <c r="J126" s="125">
        <v>0</v>
      </c>
    </row>
    <row r="127" spans="1:10" outlineLevel="2" x14ac:dyDescent="0.25">
      <c r="A127" s="750"/>
      <c r="B127" s="751"/>
      <c r="C127" s="751"/>
      <c r="D127" s="69" t="s">
        <v>33</v>
      </c>
      <c r="E127" s="73">
        <f t="shared" si="9"/>
        <v>0</v>
      </c>
      <c r="F127" s="123">
        <v>0</v>
      </c>
      <c r="G127" s="124">
        <v>0</v>
      </c>
      <c r="H127" s="305">
        <v>0</v>
      </c>
      <c r="I127" s="305">
        <v>0</v>
      </c>
      <c r="J127" s="125">
        <v>0</v>
      </c>
    </row>
    <row r="128" spans="1:10" ht="15.75" outlineLevel="2" thickBot="1" x14ac:dyDescent="0.3">
      <c r="A128" s="750"/>
      <c r="B128" s="751"/>
      <c r="C128" s="751"/>
      <c r="D128" s="70" t="s">
        <v>34</v>
      </c>
      <c r="E128" s="74">
        <f t="shared" si="9"/>
        <v>0</v>
      </c>
      <c r="F128" s="126">
        <v>0</v>
      </c>
      <c r="G128" s="127">
        <v>0</v>
      </c>
      <c r="H128" s="306">
        <v>0</v>
      </c>
      <c r="I128" s="306">
        <v>0</v>
      </c>
      <c r="J128" s="128">
        <v>0</v>
      </c>
    </row>
    <row r="129" spans="1:10" ht="15.75" thickBot="1" x14ac:dyDescent="0.3">
      <c r="A129" s="17" t="s">
        <v>338</v>
      </c>
      <c r="B129" s="17"/>
      <c r="C129" s="17"/>
      <c r="D129" s="28"/>
      <c r="E129" s="140">
        <f t="shared" ref="E129:J129" si="10">SUM(E130:E149)</f>
        <v>0</v>
      </c>
      <c r="F129" s="141">
        <f t="shared" si="10"/>
        <v>0</v>
      </c>
      <c r="G129" s="141">
        <f t="shared" si="10"/>
        <v>0</v>
      </c>
      <c r="H129" s="308">
        <f t="shared" si="10"/>
        <v>0</v>
      </c>
      <c r="I129" s="308">
        <f t="shared" si="10"/>
        <v>0</v>
      </c>
      <c r="J129" s="142">
        <f t="shared" si="10"/>
        <v>0</v>
      </c>
    </row>
    <row r="130" spans="1:10" x14ac:dyDescent="0.25">
      <c r="A130" s="750" t="s">
        <v>339</v>
      </c>
      <c r="B130" s="751"/>
      <c r="C130" s="751"/>
      <c r="D130" s="68" t="s">
        <v>25</v>
      </c>
      <c r="E130" s="72">
        <f t="shared" ref="E130:E149" si="11">SUM(F130:J130)</f>
        <v>0</v>
      </c>
      <c r="F130" s="120">
        <v>0</v>
      </c>
      <c r="G130" s="121">
        <v>0</v>
      </c>
      <c r="H130" s="304">
        <v>0</v>
      </c>
      <c r="I130" s="304">
        <v>0</v>
      </c>
      <c r="J130" s="122">
        <v>0</v>
      </c>
    </row>
    <row r="131" spans="1:10" x14ac:dyDescent="0.25">
      <c r="A131" s="750"/>
      <c r="B131" s="751"/>
      <c r="C131" s="751"/>
      <c r="D131" s="69" t="s">
        <v>26</v>
      </c>
      <c r="E131" s="73">
        <f t="shared" si="11"/>
        <v>0</v>
      </c>
      <c r="F131" s="123">
        <v>0</v>
      </c>
      <c r="G131" s="124">
        <v>0</v>
      </c>
      <c r="H131" s="305">
        <v>0</v>
      </c>
      <c r="I131" s="305">
        <v>0</v>
      </c>
      <c r="J131" s="125">
        <v>0</v>
      </c>
    </row>
    <row r="132" spans="1:10" x14ac:dyDescent="0.25">
      <c r="A132" s="750"/>
      <c r="B132" s="751"/>
      <c r="C132" s="751"/>
      <c r="D132" s="69" t="s">
        <v>27</v>
      </c>
      <c r="E132" s="73">
        <f t="shared" si="11"/>
        <v>0</v>
      </c>
      <c r="F132" s="123">
        <v>0</v>
      </c>
      <c r="G132" s="124">
        <v>0</v>
      </c>
      <c r="H132" s="305">
        <v>0</v>
      </c>
      <c r="I132" s="305">
        <v>0</v>
      </c>
      <c r="J132" s="125">
        <v>0</v>
      </c>
    </row>
    <row r="133" spans="1:10" x14ac:dyDescent="0.25">
      <c r="A133" s="750"/>
      <c r="B133" s="751"/>
      <c r="C133" s="751"/>
      <c r="D133" s="69" t="s">
        <v>28</v>
      </c>
      <c r="E133" s="73">
        <f t="shared" si="11"/>
        <v>0</v>
      </c>
      <c r="F133" s="123">
        <v>0</v>
      </c>
      <c r="G133" s="124">
        <v>0</v>
      </c>
      <c r="H133" s="305">
        <v>0</v>
      </c>
      <c r="I133" s="305">
        <v>0</v>
      </c>
      <c r="J133" s="125">
        <v>0</v>
      </c>
    </row>
    <row r="134" spans="1:10" x14ac:dyDescent="0.25">
      <c r="A134" s="750"/>
      <c r="B134" s="751"/>
      <c r="C134" s="751"/>
      <c r="D134" s="69" t="s">
        <v>29</v>
      </c>
      <c r="E134" s="73">
        <f t="shared" si="11"/>
        <v>0</v>
      </c>
      <c r="F134" s="123">
        <v>0</v>
      </c>
      <c r="G134" s="124">
        <v>0</v>
      </c>
      <c r="H134" s="305">
        <v>0</v>
      </c>
      <c r="I134" s="305">
        <v>0</v>
      </c>
      <c r="J134" s="125">
        <v>0</v>
      </c>
    </row>
    <row r="135" spans="1:10" x14ac:dyDescent="0.25">
      <c r="A135" s="750"/>
      <c r="B135" s="751"/>
      <c r="C135" s="751"/>
      <c r="D135" s="69" t="s">
        <v>30</v>
      </c>
      <c r="E135" s="73">
        <f t="shared" si="11"/>
        <v>0</v>
      </c>
      <c r="F135" s="123">
        <v>0</v>
      </c>
      <c r="G135" s="124">
        <v>0</v>
      </c>
      <c r="H135" s="305">
        <v>0</v>
      </c>
      <c r="I135" s="305">
        <v>0</v>
      </c>
      <c r="J135" s="125">
        <v>0</v>
      </c>
    </row>
    <row r="136" spans="1:10" x14ac:dyDescent="0.25">
      <c r="A136" s="750"/>
      <c r="B136" s="751"/>
      <c r="C136" s="751"/>
      <c r="D136" s="69" t="s">
        <v>31</v>
      </c>
      <c r="E136" s="73">
        <f t="shared" si="11"/>
        <v>0</v>
      </c>
      <c r="F136" s="123">
        <v>0</v>
      </c>
      <c r="G136" s="124">
        <v>0</v>
      </c>
      <c r="H136" s="305">
        <v>0</v>
      </c>
      <c r="I136" s="305">
        <v>0</v>
      </c>
      <c r="J136" s="125">
        <v>0</v>
      </c>
    </row>
    <row r="137" spans="1:10" x14ac:dyDescent="0.25">
      <c r="A137" s="750"/>
      <c r="B137" s="751"/>
      <c r="C137" s="751"/>
      <c r="D137" s="69" t="s">
        <v>32</v>
      </c>
      <c r="E137" s="73">
        <f t="shared" si="11"/>
        <v>0</v>
      </c>
      <c r="F137" s="123">
        <v>0</v>
      </c>
      <c r="G137" s="124">
        <v>0</v>
      </c>
      <c r="H137" s="305">
        <v>0</v>
      </c>
      <c r="I137" s="305">
        <v>0</v>
      </c>
      <c r="J137" s="125">
        <v>0</v>
      </c>
    </row>
    <row r="138" spans="1:10" x14ac:dyDescent="0.25">
      <c r="A138" s="750"/>
      <c r="B138" s="751"/>
      <c r="C138" s="751"/>
      <c r="D138" s="69" t="s">
        <v>33</v>
      </c>
      <c r="E138" s="73">
        <f t="shared" si="11"/>
        <v>0</v>
      </c>
      <c r="F138" s="123">
        <v>0</v>
      </c>
      <c r="G138" s="124">
        <v>0</v>
      </c>
      <c r="H138" s="305">
        <v>0</v>
      </c>
      <c r="I138" s="305">
        <v>0</v>
      </c>
      <c r="J138" s="125">
        <v>0</v>
      </c>
    </row>
    <row r="139" spans="1:10" ht="15.75" thickBot="1" x14ac:dyDescent="0.3">
      <c r="A139" s="750"/>
      <c r="B139" s="751"/>
      <c r="C139" s="751"/>
      <c r="D139" s="70" t="s">
        <v>34</v>
      </c>
      <c r="E139" s="74">
        <f t="shared" si="11"/>
        <v>0</v>
      </c>
      <c r="F139" s="126">
        <v>0</v>
      </c>
      <c r="G139" s="127">
        <v>0</v>
      </c>
      <c r="H139" s="306">
        <v>0</v>
      </c>
      <c r="I139" s="306">
        <v>0</v>
      </c>
      <c r="J139" s="128">
        <v>0</v>
      </c>
    </row>
    <row r="140" spans="1:10" x14ac:dyDescent="0.25">
      <c r="A140" s="750" t="s">
        <v>162</v>
      </c>
      <c r="B140" s="751"/>
      <c r="C140" s="751" t="s">
        <v>367</v>
      </c>
      <c r="D140" s="68" t="s">
        <v>25</v>
      </c>
      <c r="E140" s="73">
        <f t="shared" si="11"/>
        <v>0</v>
      </c>
      <c r="F140" s="120">
        <v>0</v>
      </c>
      <c r="G140" s="121">
        <v>0</v>
      </c>
      <c r="H140" s="304">
        <v>0</v>
      </c>
      <c r="I140" s="304">
        <v>0</v>
      </c>
      <c r="J140" s="122">
        <v>0</v>
      </c>
    </row>
    <row r="141" spans="1:10" x14ac:dyDescent="0.25">
      <c r="A141" s="750"/>
      <c r="B141" s="751"/>
      <c r="C141" s="751"/>
      <c r="D141" s="69" t="s">
        <v>26</v>
      </c>
      <c r="E141" s="73">
        <f t="shared" si="11"/>
        <v>0</v>
      </c>
      <c r="F141" s="123">
        <v>0</v>
      </c>
      <c r="G141" s="124">
        <v>0</v>
      </c>
      <c r="H141" s="305">
        <v>0</v>
      </c>
      <c r="I141" s="305">
        <v>0</v>
      </c>
      <c r="J141" s="125">
        <v>0</v>
      </c>
    </row>
    <row r="142" spans="1:10" x14ac:dyDescent="0.25">
      <c r="A142" s="750"/>
      <c r="B142" s="751"/>
      <c r="C142" s="751"/>
      <c r="D142" s="69" t="s">
        <v>27</v>
      </c>
      <c r="E142" s="73">
        <f t="shared" si="11"/>
        <v>0</v>
      </c>
      <c r="F142" s="123">
        <v>0</v>
      </c>
      <c r="G142" s="124">
        <v>0</v>
      </c>
      <c r="H142" s="305">
        <v>0</v>
      </c>
      <c r="I142" s="305">
        <v>0</v>
      </c>
      <c r="J142" s="125">
        <v>0</v>
      </c>
    </row>
    <row r="143" spans="1:10" x14ac:dyDescent="0.25">
      <c r="A143" s="750"/>
      <c r="B143" s="751"/>
      <c r="C143" s="751"/>
      <c r="D143" s="69" t="s">
        <v>28</v>
      </c>
      <c r="E143" s="73">
        <f t="shared" si="11"/>
        <v>0</v>
      </c>
      <c r="F143" s="123">
        <v>0</v>
      </c>
      <c r="G143" s="124">
        <v>0</v>
      </c>
      <c r="H143" s="305">
        <v>0</v>
      </c>
      <c r="I143" s="305">
        <v>0</v>
      </c>
      <c r="J143" s="125">
        <v>0</v>
      </c>
    </row>
    <row r="144" spans="1:10" x14ac:dyDescent="0.25">
      <c r="A144" s="750"/>
      <c r="B144" s="751"/>
      <c r="C144" s="751"/>
      <c r="D144" s="69" t="s">
        <v>29</v>
      </c>
      <c r="E144" s="73">
        <f t="shared" si="11"/>
        <v>0</v>
      </c>
      <c r="F144" s="123">
        <v>0</v>
      </c>
      <c r="G144" s="124">
        <v>0</v>
      </c>
      <c r="H144" s="305">
        <v>0</v>
      </c>
      <c r="I144" s="305">
        <v>0</v>
      </c>
      <c r="J144" s="125">
        <v>0</v>
      </c>
    </row>
    <row r="145" spans="1:10" x14ac:dyDescent="0.25">
      <c r="A145" s="750"/>
      <c r="B145" s="751"/>
      <c r="C145" s="751"/>
      <c r="D145" s="69" t="s">
        <v>30</v>
      </c>
      <c r="E145" s="73">
        <f t="shared" si="11"/>
        <v>0</v>
      </c>
      <c r="F145" s="123">
        <v>0</v>
      </c>
      <c r="G145" s="124">
        <v>0</v>
      </c>
      <c r="H145" s="305">
        <v>0</v>
      </c>
      <c r="I145" s="305">
        <v>0</v>
      </c>
      <c r="J145" s="125">
        <v>0</v>
      </c>
    </row>
    <row r="146" spans="1:10" x14ac:dyDescent="0.25">
      <c r="A146" s="750"/>
      <c r="B146" s="751"/>
      <c r="C146" s="751"/>
      <c r="D146" s="69" t="s">
        <v>31</v>
      </c>
      <c r="E146" s="73">
        <f t="shared" si="11"/>
        <v>0</v>
      </c>
      <c r="F146" s="123">
        <v>0</v>
      </c>
      <c r="G146" s="124">
        <v>0</v>
      </c>
      <c r="H146" s="305">
        <v>0</v>
      </c>
      <c r="I146" s="305">
        <v>0</v>
      </c>
      <c r="J146" s="125">
        <v>0</v>
      </c>
    </row>
    <row r="147" spans="1:10" x14ac:dyDescent="0.25">
      <c r="A147" s="750"/>
      <c r="B147" s="751"/>
      <c r="C147" s="751"/>
      <c r="D147" s="69" t="s">
        <v>32</v>
      </c>
      <c r="E147" s="73">
        <f t="shared" si="11"/>
        <v>0</v>
      </c>
      <c r="F147" s="123">
        <v>0</v>
      </c>
      <c r="G147" s="124">
        <v>0</v>
      </c>
      <c r="H147" s="305">
        <v>0</v>
      </c>
      <c r="I147" s="305">
        <v>0</v>
      </c>
      <c r="J147" s="125">
        <v>0</v>
      </c>
    </row>
    <row r="148" spans="1:10" x14ac:dyDescent="0.25">
      <c r="A148" s="750"/>
      <c r="B148" s="751"/>
      <c r="C148" s="751"/>
      <c r="D148" s="69" t="s">
        <v>33</v>
      </c>
      <c r="E148" s="73">
        <f t="shared" si="11"/>
        <v>0</v>
      </c>
      <c r="F148" s="123">
        <v>0</v>
      </c>
      <c r="G148" s="124">
        <v>0</v>
      </c>
      <c r="H148" s="305">
        <v>0</v>
      </c>
      <c r="I148" s="305">
        <v>0</v>
      </c>
      <c r="J148" s="125">
        <v>0</v>
      </c>
    </row>
    <row r="149" spans="1:10" ht="15.75" thickBot="1" x14ac:dyDescent="0.3">
      <c r="A149" s="750"/>
      <c r="B149" s="751"/>
      <c r="C149" s="751"/>
      <c r="D149" s="70" t="s">
        <v>34</v>
      </c>
      <c r="E149" s="74">
        <f t="shared" si="11"/>
        <v>0</v>
      </c>
      <c r="F149" s="126">
        <v>0</v>
      </c>
      <c r="G149" s="127">
        <v>0</v>
      </c>
      <c r="H149" s="306">
        <v>0</v>
      </c>
      <c r="I149" s="306">
        <v>0</v>
      </c>
      <c r="J149" s="128">
        <v>0</v>
      </c>
    </row>
    <row r="150" spans="1:10" ht="15.75" thickBot="1" x14ac:dyDescent="0.3">
      <c r="A150" s="748" t="s">
        <v>369</v>
      </c>
      <c r="B150" s="749"/>
      <c r="C150" s="749"/>
      <c r="D150" s="82"/>
      <c r="E150" s="78">
        <f t="shared" ref="E150:J150" si="12">SUM(E151:E170)</f>
        <v>0</v>
      </c>
      <c r="F150" s="79">
        <f t="shared" si="12"/>
        <v>0</v>
      </c>
      <c r="G150" s="79">
        <f t="shared" si="12"/>
        <v>0</v>
      </c>
      <c r="H150" s="299">
        <f t="shared" si="12"/>
        <v>0</v>
      </c>
      <c r="I150" s="299">
        <f t="shared" si="12"/>
        <v>0</v>
      </c>
      <c r="J150" s="80">
        <f t="shared" si="12"/>
        <v>0</v>
      </c>
    </row>
    <row r="151" spans="1:10" x14ac:dyDescent="0.25">
      <c r="A151" s="750" t="s">
        <v>371</v>
      </c>
      <c r="B151" s="751" t="s">
        <v>82</v>
      </c>
      <c r="C151" s="751">
        <v>633013</v>
      </c>
      <c r="D151" s="68" t="s">
        <v>25</v>
      </c>
      <c r="E151" s="65">
        <f t="shared" ref="E151:E170" si="13">SUM(F151:J151)</f>
        <v>0</v>
      </c>
      <c r="F151" s="129">
        <v>0</v>
      </c>
      <c r="G151" s="130">
        <v>0</v>
      </c>
      <c r="H151" s="300">
        <v>0</v>
      </c>
      <c r="I151" s="300">
        <v>0</v>
      </c>
      <c r="J151" s="135">
        <v>0</v>
      </c>
    </row>
    <row r="152" spans="1:10" x14ac:dyDescent="0.25">
      <c r="A152" s="750"/>
      <c r="B152" s="751"/>
      <c r="C152" s="751"/>
      <c r="D152" s="69" t="s">
        <v>26</v>
      </c>
      <c r="E152" s="66">
        <f t="shared" si="13"/>
        <v>0</v>
      </c>
      <c r="F152" s="131">
        <v>0</v>
      </c>
      <c r="G152" s="132">
        <v>0</v>
      </c>
      <c r="H152" s="301">
        <v>0</v>
      </c>
      <c r="I152" s="301">
        <v>0</v>
      </c>
      <c r="J152" s="136">
        <v>0</v>
      </c>
    </row>
    <row r="153" spans="1:10" x14ac:dyDescent="0.25">
      <c r="A153" s="750"/>
      <c r="B153" s="751"/>
      <c r="C153" s="751"/>
      <c r="D153" s="69" t="s">
        <v>27</v>
      </c>
      <c r="E153" s="66">
        <f t="shared" si="13"/>
        <v>0</v>
      </c>
      <c r="F153" s="131">
        <v>0</v>
      </c>
      <c r="G153" s="132">
        <v>0</v>
      </c>
      <c r="H153" s="301">
        <v>0</v>
      </c>
      <c r="I153" s="301">
        <v>0</v>
      </c>
      <c r="J153" s="136">
        <v>0</v>
      </c>
    </row>
    <row r="154" spans="1:10" x14ac:dyDescent="0.25">
      <c r="A154" s="750"/>
      <c r="B154" s="751"/>
      <c r="C154" s="751"/>
      <c r="D154" s="69" t="s">
        <v>28</v>
      </c>
      <c r="E154" s="66">
        <f t="shared" si="13"/>
        <v>0</v>
      </c>
      <c r="F154" s="131">
        <v>0</v>
      </c>
      <c r="G154" s="132">
        <v>0</v>
      </c>
      <c r="H154" s="301">
        <v>0</v>
      </c>
      <c r="I154" s="301">
        <v>0</v>
      </c>
      <c r="J154" s="136">
        <v>0</v>
      </c>
    </row>
    <row r="155" spans="1:10" x14ac:dyDescent="0.25">
      <c r="A155" s="750"/>
      <c r="B155" s="751"/>
      <c r="C155" s="751"/>
      <c r="D155" s="69" t="s">
        <v>29</v>
      </c>
      <c r="E155" s="66">
        <f t="shared" si="13"/>
        <v>0</v>
      </c>
      <c r="F155" s="131">
        <v>0</v>
      </c>
      <c r="G155" s="132">
        <v>0</v>
      </c>
      <c r="H155" s="301">
        <v>0</v>
      </c>
      <c r="I155" s="301">
        <v>0</v>
      </c>
      <c r="J155" s="136">
        <v>0</v>
      </c>
    </row>
    <row r="156" spans="1:10" x14ac:dyDescent="0.25">
      <c r="A156" s="750"/>
      <c r="B156" s="751"/>
      <c r="C156" s="751"/>
      <c r="D156" s="69" t="s">
        <v>30</v>
      </c>
      <c r="E156" s="66">
        <f t="shared" si="13"/>
        <v>0</v>
      </c>
      <c r="F156" s="131">
        <v>0</v>
      </c>
      <c r="G156" s="132">
        <v>0</v>
      </c>
      <c r="H156" s="301">
        <v>0</v>
      </c>
      <c r="I156" s="301">
        <v>0</v>
      </c>
      <c r="J156" s="136">
        <v>0</v>
      </c>
    </row>
    <row r="157" spans="1:10" x14ac:dyDescent="0.25">
      <c r="A157" s="750"/>
      <c r="B157" s="751"/>
      <c r="C157" s="751"/>
      <c r="D157" s="69" t="s">
        <v>31</v>
      </c>
      <c r="E157" s="66">
        <f t="shared" si="13"/>
        <v>0</v>
      </c>
      <c r="F157" s="131">
        <v>0</v>
      </c>
      <c r="G157" s="132">
        <v>0</v>
      </c>
      <c r="H157" s="301">
        <v>0</v>
      </c>
      <c r="I157" s="301">
        <v>0</v>
      </c>
      <c r="J157" s="136">
        <v>0</v>
      </c>
    </row>
    <row r="158" spans="1:10" x14ac:dyDescent="0.25">
      <c r="A158" s="750"/>
      <c r="B158" s="751"/>
      <c r="C158" s="751"/>
      <c r="D158" s="69" t="s">
        <v>32</v>
      </c>
      <c r="E158" s="66">
        <f t="shared" si="13"/>
        <v>0</v>
      </c>
      <c r="F158" s="131">
        <v>0</v>
      </c>
      <c r="G158" s="132">
        <v>0</v>
      </c>
      <c r="H158" s="301">
        <v>0</v>
      </c>
      <c r="I158" s="301">
        <v>0</v>
      </c>
      <c r="J158" s="136">
        <v>0</v>
      </c>
    </row>
    <row r="159" spans="1:10" x14ac:dyDescent="0.25">
      <c r="A159" s="750"/>
      <c r="B159" s="751"/>
      <c r="C159" s="751"/>
      <c r="D159" s="69" t="s">
        <v>33</v>
      </c>
      <c r="E159" s="66">
        <f t="shared" si="13"/>
        <v>0</v>
      </c>
      <c r="F159" s="131">
        <v>0</v>
      </c>
      <c r="G159" s="132">
        <v>0</v>
      </c>
      <c r="H159" s="301">
        <v>0</v>
      </c>
      <c r="I159" s="301">
        <v>0</v>
      </c>
      <c r="J159" s="136">
        <v>0</v>
      </c>
    </row>
    <row r="160" spans="1:10" ht="15.75" thickBot="1" x14ac:dyDescent="0.3">
      <c r="A160" s="750"/>
      <c r="B160" s="751"/>
      <c r="C160" s="751"/>
      <c r="D160" s="70" t="s">
        <v>34</v>
      </c>
      <c r="E160" s="67">
        <f t="shared" si="13"/>
        <v>0</v>
      </c>
      <c r="F160" s="133">
        <v>0</v>
      </c>
      <c r="G160" s="134">
        <v>0</v>
      </c>
      <c r="H160" s="302">
        <v>0</v>
      </c>
      <c r="I160" s="302">
        <v>0</v>
      </c>
      <c r="J160" s="137">
        <v>0</v>
      </c>
    </row>
    <row r="161" spans="1:10" x14ac:dyDescent="0.25">
      <c r="A161" s="750" t="s">
        <v>370</v>
      </c>
      <c r="B161" s="751"/>
      <c r="C161" s="751">
        <v>637031</v>
      </c>
      <c r="D161" s="68" t="s">
        <v>25</v>
      </c>
      <c r="E161" s="66">
        <f t="shared" si="13"/>
        <v>0</v>
      </c>
      <c r="F161" s="129">
        <v>0</v>
      </c>
      <c r="G161" s="130">
        <v>0</v>
      </c>
      <c r="H161" s="300">
        <v>0</v>
      </c>
      <c r="I161" s="300">
        <v>0</v>
      </c>
      <c r="J161" s="135">
        <v>0</v>
      </c>
    </row>
    <row r="162" spans="1:10" x14ac:dyDescent="0.25">
      <c r="A162" s="750"/>
      <c r="B162" s="751"/>
      <c r="C162" s="751"/>
      <c r="D162" s="69" t="s">
        <v>26</v>
      </c>
      <c r="E162" s="66">
        <f t="shared" si="13"/>
        <v>0</v>
      </c>
      <c r="F162" s="131">
        <v>0</v>
      </c>
      <c r="G162" s="132">
        <v>0</v>
      </c>
      <c r="H162" s="301">
        <v>0</v>
      </c>
      <c r="I162" s="301">
        <v>0</v>
      </c>
      <c r="J162" s="136">
        <v>0</v>
      </c>
    </row>
    <row r="163" spans="1:10" x14ac:dyDescent="0.25">
      <c r="A163" s="750"/>
      <c r="B163" s="751"/>
      <c r="C163" s="751"/>
      <c r="D163" s="69" t="s">
        <v>27</v>
      </c>
      <c r="E163" s="66">
        <f t="shared" si="13"/>
        <v>0</v>
      </c>
      <c r="F163" s="131">
        <v>0</v>
      </c>
      <c r="G163" s="132">
        <v>0</v>
      </c>
      <c r="H163" s="301">
        <v>0</v>
      </c>
      <c r="I163" s="301">
        <v>0</v>
      </c>
      <c r="J163" s="136">
        <v>0</v>
      </c>
    </row>
    <row r="164" spans="1:10" x14ac:dyDescent="0.25">
      <c r="A164" s="750"/>
      <c r="B164" s="751"/>
      <c r="C164" s="751"/>
      <c r="D164" s="69" t="s">
        <v>28</v>
      </c>
      <c r="E164" s="66">
        <f t="shared" si="13"/>
        <v>0</v>
      </c>
      <c r="F164" s="131">
        <v>0</v>
      </c>
      <c r="G164" s="132">
        <v>0</v>
      </c>
      <c r="H164" s="301">
        <v>0</v>
      </c>
      <c r="I164" s="301">
        <v>0</v>
      </c>
      <c r="J164" s="136">
        <v>0</v>
      </c>
    </row>
    <row r="165" spans="1:10" x14ac:dyDescent="0.25">
      <c r="A165" s="750"/>
      <c r="B165" s="751"/>
      <c r="C165" s="751"/>
      <c r="D165" s="69" t="s">
        <v>29</v>
      </c>
      <c r="E165" s="66">
        <f t="shared" si="13"/>
        <v>0</v>
      </c>
      <c r="F165" s="131">
        <v>0</v>
      </c>
      <c r="G165" s="132">
        <v>0</v>
      </c>
      <c r="H165" s="301">
        <v>0</v>
      </c>
      <c r="I165" s="301">
        <v>0</v>
      </c>
      <c r="J165" s="136">
        <v>0</v>
      </c>
    </row>
    <row r="166" spans="1:10" x14ac:dyDescent="0.25">
      <c r="A166" s="750"/>
      <c r="B166" s="751"/>
      <c r="C166" s="751"/>
      <c r="D166" s="69" t="s">
        <v>30</v>
      </c>
      <c r="E166" s="66">
        <f t="shared" si="13"/>
        <v>0</v>
      </c>
      <c r="F166" s="131">
        <v>0</v>
      </c>
      <c r="G166" s="132">
        <v>0</v>
      </c>
      <c r="H166" s="301">
        <v>0</v>
      </c>
      <c r="I166" s="301">
        <v>0</v>
      </c>
      <c r="J166" s="136">
        <v>0</v>
      </c>
    </row>
    <row r="167" spans="1:10" x14ac:dyDescent="0.25">
      <c r="A167" s="750"/>
      <c r="B167" s="751"/>
      <c r="C167" s="751"/>
      <c r="D167" s="69" t="s">
        <v>31</v>
      </c>
      <c r="E167" s="66">
        <f t="shared" si="13"/>
        <v>0</v>
      </c>
      <c r="F167" s="131">
        <v>0</v>
      </c>
      <c r="G167" s="132">
        <v>0</v>
      </c>
      <c r="H167" s="301">
        <v>0</v>
      </c>
      <c r="I167" s="301">
        <v>0</v>
      </c>
      <c r="J167" s="136">
        <v>0</v>
      </c>
    </row>
    <row r="168" spans="1:10" x14ac:dyDescent="0.25">
      <c r="A168" s="750"/>
      <c r="B168" s="751"/>
      <c r="C168" s="751"/>
      <c r="D168" s="69" t="s">
        <v>32</v>
      </c>
      <c r="E168" s="66">
        <f t="shared" si="13"/>
        <v>0</v>
      </c>
      <c r="F168" s="131">
        <v>0</v>
      </c>
      <c r="G168" s="132">
        <v>0</v>
      </c>
      <c r="H168" s="301">
        <v>0</v>
      </c>
      <c r="I168" s="301">
        <v>0</v>
      </c>
      <c r="J168" s="136">
        <v>0</v>
      </c>
    </row>
    <row r="169" spans="1:10" x14ac:dyDescent="0.25">
      <c r="A169" s="750"/>
      <c r="B169" s="751"/>
      <c r="C169" s="751"/>
      <c r="D169" s="69" t="s">
        <v>33</v>
      </c>
      <c r="E169" s="66">
        <f t="shared" si="13"/>
        <v>0</v>
      </c>
      <c r="F169" s="131">
        <v>0</v>
      </c>
      <c r="G169" s="132">
        <v>0</v>
      </c>
      <c r="H169" s="301">
        <v>0</v>
      </c>
      <c r="I169" s="301">
        <v>0</v>
      </c>
      <c r="J169" s="136">
        <v>0</v>
      </c>
    </row>
    <row r="170" spans="1:10" ht="15.75" thickBot="1" x14ac:dyDescent="0.3">
      <c r="A170" s="750"/>
      <c r="B170" s="751"/>
      <c r="C170" s="751"/>
      <c r="D170" s="70" t="s">
        <v>34</v>
      </c>
      <c r="E170" s="67">
        <f t="shared" si="13"/>
        <v>0</v>
      </c>
      <c r="F170" s="133">
        <v>0</v>
      </c>
      <c r="G170" s="134">
        <v>0</v>
      </c>
      <c r="H170" s="302">
        <v>0</v>
      </c>
      <c r="I170" s="302">
        <v>0</v>
      </c>
      <c r="J170" s="137">
        <v>0</v>
      </c>
    </row>
  </sheetData>
  <mergeCells count="52">
    <mergeCell ref="A130:A139"/>
    <mergeCell ref="B130:B139"/>
    <mergeCell ref="C130:C139"/>
    <mergeCell ref="A140:A149"/>
    <mergeCell ref="B140:B149"/>
    <mergeCell ref="C140:C149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scale="29" orientation="portrait" r:id="rId1"/>
  <ignoredErrors>
    <ignoredError sqref="E25 E7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K84"/>
  <sheetViews>
    <sheetView view="pageBreakPreview" zoomScale="60" zoomScaleNormal="85" workbookViewId="0">
      <selection activeCell="I6" sqref="I6"/>
    </sheetView>
  </sheetViews>
  <sheetFormatPr defaultColWidth="8.85546875" defaultRowHeight="15" outlineLevelRow="1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9" width="19.28515625" customWidth="1" outlineLevel="1"/>
    <col min="10" max="10" width="31" customWidth="1" outlineLevel="1"/>
    <col min="11" max="11" width="19" customWidth="1"/>
  </cols>
  <sheetData>
    <row r="1" spans="1:11" ht="36" customHeight="1" thickBot="1" x14ac:dyDescent="0.4">
      <c r="A1" s="746" t="s">
        <v>102</v>
      </c>
      <c r="B1" s="746"/>
      <c r="C1" s="746"/>
      <c r="D1" s="747"/>
      <c r="E1" s="71" t="s">
        <v>35</v>
      </c>
      <c r="F1" s="344" t="s">
        <v>74</v>
      </c>
      <c r="G1" s="344" t="s">
        <v>75</v>
      </c>
      <c r="H1" s="344" t="s">
        <v>232</v>
      </c>
      <c r="I1" s="344" t="s">
        <v>214</v>
      </c>
      <c r="J1" s="344" t="s">
        <v>375</v>
      </c>
      <c r="K1" s="344" t="s">
        <v>368</v>
      </c>
    </row>
    <row r="2" spans="1:11" ht="15.75" thickBot="1" x14ac:dyDescent="0.3">
      <c r="A2" s="41" t="s">
        <v>0</v>
      </c>
      <c r="B2" s="76" t="s">
        <v>79</v>
      </c>
      <c r="C2" s="76" t="s">
        <v>78</v>
      </c>
      <c r="D2" s="76" t="s">
        <v>23</v>
      </c>
      <c r="E2" s="17"/>
      <c r="F2" s="17"/>
      <c r="G2" s="17"/>
      <c r="H2" s="17"/>
      <c r="I2" s="17"/>
      <c r="J2" s="17"/>
      <c r="K2" s="17"/>
    </row>
    <row r="3" spans="1:11" ht="15.75" thickBot="1" x14ac:dyDescent="0.3">
      <c r="A3" s="755" t="s">
        <v>92</v>
      </c>
      <c r="B3" s="755"/>
      <c r="C3" s="755"/>
      <c r="D3" s="75"/>
      <c r="E3" s="78">
        <f t="shared" ref="E3:K3" si="0">SUM(E4:E33)</f>
        <v>8600000</v>
      </c>
      <c r="F3" s="79">
        <f t="shared" si="0"/>
        <v>1400000</v>
      </c>
      <c r="G3" s="79">
        <f t="shared" si="0"/>
        <v>6200000</v>
      </c>
      <c r="H3" s="299">
        <f t="shared" si="0"/>
        <v>1000000</v>
      </c>
      <c r="I3" s="299">
        <f t="shared" si="0"/>
        <v>0</v>
      </c>
      <c r="J3" s="299">
        <f>SUM(J4:J33)</f>
        <v>0</v>
      </c>
      <c r="K3" s="80">
        <f t="shared" si="0"/>
        <v>0</v>
      </c>
    </row>
    <row r="4" spans="1:11" outlineLevel="1" x14ac:dyDescent="0.25">
      <c r="A4" s="750" t="s">
        <v>94</v>
      </c>
      <c r="B4" s="750" t="s">
        <v>97</v>
      </c>
      <c r="C4" s="751">
        <v>713002</v>
      </c>
      <c r="D4" s="68" t="s">
        <v>25</v>
      </c>
      <c r="E4" s="72">
        <f>SUM(F4:K4)</f>
        <v>8600000</v>
      </c>
      <c r="F4" s="120">
        <v>1400000</v>
      </c>
      <c r="G4" s="121">
        <v>6200000</v>
      </c>
      <c r="H4" s="304">
        <v>1000000</v>
      </c>
      <c r="I4" s="304">
        <v>0</v>
      </c>
      <c r="J4" s="304">
        <v>0</v>
      </c>
      <c r="K4" s="122">
        <v>0</v>
      </c>
    </row>
    <row r="5" spans="1:11" outlineLevel="1" x14ac:dyDescent="0.25">
      <c r="A5" s="750"/>
      <c r="B5" s="751"/>
      <c r="C5" s="751"/>
      <c r="D5" s="69" t="s">
        <v>26</v>
      </c>
      <c r="E5" s="73">
        <f t="shared" ref="E5:E33" si="1">SUM(F5:K5)</f>
        <v>0</v>
      </c>
      <c r="F5" s="123">
        <v>0</v>
      </c>
      <c r="G5" s="124">
        <v>0</v>
      </c>
      <c r="H5" s="305">
        <v>0</v>
      </c>
      <c r="I5" s="305">
        <v>0</v>
      </c>
      <c r="J5" s="305">
        <v>0</v>
      </c>
      <c r="K5" s="125">
        <v>0</v>
      </c>
    </row>
    <row r="6" spans="1:11" outlineLevel="1" x14ac:dyDescent="0.25">
      <c r="A6" s="750"/>
      <c r="B6" s="751"/>
      <c r="C6" s="751"/>
      <c r="D6" s="69" t="s">
        <v>27</v>
      </c>
      <c r="E6" s="73">
        <f t="shared" si="1"/>
        <v>0</v>
      </c>
      <c r="F6" s="123">
        <v>0</v>
      </c>
      <c r="G6" s="124">
        <v>0</v>
      </c>
      <c r="H6" s="305">
        <v>0</v>
      </c>
      <c r="I6" s="305">
        <v>0</v>
      </c>
      <c r="J6" s="305">
        <v>0</v>
      </c>
      <c r="K6" s="125">
        <v>0</v>
      </c>
    </row>
    <row r="7" spans="1:11" outlineLevel="1" x14ac:dyDescent="0.25">
      <c r="A7" s="750"/>
      <c r="B7" s="751"/>
      <c r="C7" s="751"/>
      <c r="D7" s="69" t="s">
        <v>28</v>
      </c>
      <c r="E7" s="73">
        <f t="shared" si="1"/>
        <v>0</v>
      </c>
      <c r="F7" s="123">
        <v>0</v>
      </c>
      <c r="G7" s="124">
        <v>0</v>
      </c>
      <c r="H7" s="305">
        <v>0</v>
      </c>
      <c r="I7" s="305">
        <v>0</v>
      </c>
      <c r="J7" s="305">
        <v>0</v>
      </c>
      <c r="K7" s="125">
        <v>0</v>
      </c>
    </row>
    <row r="8" spans="1:11" outlineLevel="1" x14ac:dyDescent="0.25">
      <c r="A8" s="750"/>
      <c r="B8" s="751"/>
      <c r="C8" s="751"/>
      <c r="D8" s="69" t="s">
        <v>29</v>
      </c>
      <c r="E8" s="73">
        <f t="shared" si="1"/>
        <v>0</v>
      </c>
      <c r="F8" s="123">
        <v>0</v>
      </c>
      <c r="G8" s="124">
        <v>0</v>
      </c>
      <c r="H8" s="305">
        <v>0</v>
      </c>
      <c r="I8" s="305">
        <v>0</v>
      </c>
      <c r="J8" s="305">
        <v>0</v>
      </c>
      <c r="K8" s="125">
        <v>0</v>
      </c>
    </row>
    <row r="9" spans="1:11" outlineLevel="1" x14ac:dyDescent="0.25">
      <c r="A9" s="750"/>
      <c r="B9" s="751"/>
      <c r="C9" s="751"/>
      <c r="D9" s="69" t="s">
        <v>30</v>
      </c>
      <c r="E9" s="73">
        <f t="shared" si="1"/>
        <v>0</v>
      </c>
      <c r="F9" s="123">
        <v>0</v>
      </c>
      <c r="G9" s="124">
        <v>0</v>
      </c>
      <c r="H9" s="305">
        <v>0</v>
      </c>
      <c r="I9" s="305">
        <v>0</v>
      </c>
      <c r="J9" s="305">
        <v>0</v>
      </c>
      <c r="K9" s="125">
        <v>0</v>
      </c>
    </row>
    <row r="10" spans="1:11" outlineLevel="1" x14ac:dyDescent="0.25">
      <c r="A10" s="750"/>
      <c r="B10" s="751"/>
      <c r="C10" s="751"/>
      <c r="D10" s="69" t="s">
        <v>31</v>
      </c>
      <c r="E10" s="73">
        <f t="shared" si="1"/>
        <v>0</v>
      </c>
      <c r="F10" s="123">
        <v>0</v>
      </c>
      <c r="G10" s="124">
        <v>0</v>
      </c>
      <c r="H10" s="305">
        <v>0</v>
      </c>
      <c r="I10" s="305">
        <v>0</v>
      </c>
      <c r="J10" s="305">
        <v>0</v>
      </c>
      <c r="K10" s="125">
        <v>0</v>
      </c>
    </row>
    <row r="11" spans="1:11" outlineLevel="1" x14ac:dyDescent="0.25">
      <c r="A11" s="750"/>
      <c r="B11" s="751"/>
      <c r="C11" s="751"/>
      <c r="D11" s="69" t="s">
        <v>32</v>
      </c>
      <c r="E11" s="73">
        <f t="shared" si="1"/>
        <v>0</v>
      </c>
      <c r="F11" s="123">
        <v>0</v>
      </c>
      <c r="G11" s="124">
        <v>0</v>
      </c>
      <c r="H11" s="305">
        <v>0</v>
      </c>
      <c r="I11" s="305">
        <v>0</v>
      </c>
      <c r="J11" s="305">
        <v>0</v>
      </c>
      <c r="K11" s="125">
        <v>0</v>
      </c>
    </row>
    <row r="12" spans="1:11" outlineLevel="1" x14ac:dyDescent="0.25">
      <c r="A12" s="750"/>
      <c r="B12" s="751"/>
      <c r="C12" s="751"/>
      <c r="D12" s="69" t="s">
        <v>33</v>
      </c>
      <c r="E12" s="73">
        <f t="shared" si="1"/>
        <v>0</v>
      </c>
      <c r="F12" s="123">
        <v>0</v>
      </c>
      <c r="G12" s="124">
        <v>0</v>
      </c>
      <c r="H12" s="305">
        <v>0</v>
      </c>
      <c r="I12" s="305">
        <v>0</v>
      </c>
      <c r="J12" s="305">
        <v>0</v>
      </c>
      <c r="K12" s="125">
        <v>0</v>
      </c>
    </row>
    <row r="13" spans="1:11" ht="15.75" outlineLevel="1" thickBot="1" x14ac:dyDescent="0.3">
      <c r="A13" s="750"/>
      <c r="B13" s="751"/>
      <c r="C13" s="751"/>
      <c r="D13" s="70" t="s">
        <v>34</v>
      </c>
      <c r="E13" s="74">
        <f t="shared" si="1"/>
        <v>0</v>
      </c>
      <c r="F13" s="126">
        <v>0</v>
      </c>
      <c r="G13" s="127">
        <v>0</v>
      </c>
      <c r="H13" s="306">
        <v>0</v>
      </c>
      <c r="I13" s="306">
        <v>0</v>
      </c>
      <c r="J13" s="306">
        <v>0</v>
      </c>
      <c r="K13" s="128">
        <v>0</v>
      </c>
    </row>
    <row r="14" spans="1:11" ht="15" customHeight="1" outlineLevel="1" x14ac:dyDescent="0.25">
      <c r="A14" s="750" t="s">
        <v>95</v>
      </c>
      <c r="B14" s="750" t="s">
        <v>119</v>
      </c>
      <c r="C14" s="751">
        <v>633002</v>
      </c>
      <c r="D14" s="68" t="s">
        <v>25</v>
      </c>
      <c r="E14" s="73">
        <f t="shared" si="1"/>
        <v>0</v>
      </c>
      <c r="F14" s="120">
        <v>0</v>
      </c>
      <c r="G14" s="121">
        <v>0</v>
      </c>
      <c r="H14" s="304">
        <v>0</v>
      </c>
      <c r="I14" s="304">
        <v>0</v>
      </c>
      <c r="J14" s="304">
        <v>0</v>
      </c>
      <c r="K14" s="122">
        <v>0</v>
      </c>
    </row>
    <row r="15" spans="1:11" outlineLevel="1" x14ac:dyDescent="0.25">
      <c r="A15" s="750"/>
      <c r="B15" s="751"/>
      <c r="C15" s="751"/>
      <c r="D15" s="69" t="s">
        <v>26</v>
      </c>
      <c r="E15" s="73">
        <f t="shared" si="1"/>
        <v>0</v>
      </c>
      <c r="F15" s="123">
        <v>0</v>
      </c>
      <c r="G15" s="124">
        <v>0</v>
      </c>
      <c r="H15" s="305">
        <v>0</v>
      </c>
      <c r="I15" s="305">
        <v>0</v>
      </c>
      <c r="J15" s="305">
        <v>0</v>
      </c>
      <c r="K15" s="125">
        <v>0</v>
      </c>
    </row>
    <row r="16" spans="1:11" outlineLevel="1" x14ac:dyDescent="0.25">
      <c r="A16" s="750"/>
      <c r="B16" s="751"/>
      <c r="C16" s="751"/>
      <c r="D16" s="69" t="s">
        <v>27</v>
      </c>
      <c r="E16" s="73">
        <f t="shared" si="1"/>
        <v>0</v>
      </c>
      <c r="F16" s="123">
        <v>0</v>
      </c>
      <c r="G16" s="124">
        <v>0</v>
      </c>
      <c r="H16" s="305">
        <v>0</v>
      </c>
      <c r="I16" s="305">
        <v>0</v>
      </c>
      <c r="J16" s="305">
        <v>0</v>
      </c>
      <c r="K16" s="125">
        <v>0</v>
      </c>
    </row>
    <row r="17" spans="1:11" outlineLevel="1" x14ac:dyDescent="0.25">
      <c r="A17" s="750"/>
      <c r="B17" s="751"/>
      <c r="C17" s="751"/>
      <c r="D17" s="69" t="s">
        <v>28</v>
      </c>
      <c r="E17" s="73">
        <f t="shared" si="1"/>
        <v>0</v>
      </c>
      <c r="F17" s="123">
        <v>0</v>
      </c>
      <c r="G17" s="124">
        <v>0</v>
      </c>
      <c r="H17" s="305">
        <v>0</v>
      </c>
      <c r="I17" s="305">
        <v>0</v>
      </c>
      <c r="J17" s="305">
        <v>0</v>
      </c>
      <c r="K17" s="125">
        <v>0</v>
      </c>
    </row>
    <row r="18" spans="1:11" outlineLevel="1" x14ac:dyDescent="0.25">
      <c r="A18" s="750"/>
      <c r="B18" s="751"/>
      <c r="C18" s="751"/>
      <c r="D18" s="69" t="s">
        <v>29</v>
      </c>
      <c r="E18" s="73">
        <f t="shared" si="1"/>
        <v>0</v>
      </c>
      <c r="F18" s="123">
        <v>0</v>
      </c>
      <c r="G18" s="124">
        <v>0</v>
      </c>
      <c r="H18" s="305">
        <v>0</v>
      </c>
      <c r="I18" s="305">
        <v>0</v>
      </c>
      <c r="J18" s="305">
        <v>0</v>
      </c>
      <c r="K18" s="125">
        <v>0</v>
      </c>
    </row>
    <row r="19" spans="1:11" outlineLevel="1" x14ac:dyDescent="0.25">
      <c r="A19" s="750"/>
      <c r="B19" s="751"/>
      <c r="C19" s="751"/>
      <c r="D19" s="69" t="s">
        <v>30</v>
      </c>
      <c r="E19" s="73">
        <f t="shared" si="1"/>
        <v>0</v>
      </c>
      <c r="F19" s="123">
        <v>0</v>
      </c>
      <c r="G19" s="124">
        <v>0</v>
      </c>
      <c r="H19" s="305">
        <v>0</v>
      </c>
      <c r="I19" s="305">
        <v>0</v>
      </c>
      <c r="J19" s="305">
        <v>0</v>
      </c>
      <c r="K19" s="125">
        <v>0</v>
      </c>
    </row>
    <row r="20" spans="1:11" outlineLevel="1" x14ac:dyDescent="0.25">
      <c r="A20" s="750"/>
      <c r="B20" s="751"/>
      <c r="C20" s="751"/>
      <c r="D20" s="69" t="s">
        <v>31</v>
      </c>
      <c r="E20" s="73">
        <f t="shared" si="1"/>
        <v>0</v>
      </c>
      <c r="F20" s="123">
        <v>0</v>
      </c>
      <c r="G20" s="124">
        <v>0</v>
      </c>
      <c r="H20" s="305">
        <v>0</v>
      </c>
      <c r="I20" s="305">
        <v>0</v>
      </c>
      <c r="J20" s="305">
        <v>0</v>
      </c>
      <c r="K20" s="125">
        <v>0</v>
      </c>
    </row>
    <row r="21" spans="1:11" outlineLevel="1" x14ac:dyDescent="0.25">
      <c r="A21" s="750"/>
      <c r="B21" s="751"/>
      <c r="C21" s="751"/>
      <c r="D21" s="69" t="s">
        <v>32</v>
      </c>
      <c r="E21" s="73">
        <f t="shared" si="1"/>
        <v>0</v>
      </c>
      <c r="F21" s="123">
        <v>0</v>
      </c>
      <c r="G21" s="124">
        <v>0</v>
      </c>
      <c r="H21" s="305">
        <v>0</v>
      </c>
      <c r="I21" s="305">
        <v>0</v>
      </c>
      <c r="J21" s="305">
        <v>0</v>
      </c>
      <c r="K21" s="125">
        <v>0</v>
      </c>
    </row>
    <row r="22" spans="1:11" outlineLevel="1" x14ac:dyDescent="0.25">
      <c r="A22" s="750"/>
      <c r="B22" s="751"/>
      <c r="C22" s="751"/>
      <c r="D22" s="69" t="s">
        <v>33</v>
      </c>
      <c r="E22" s="73">
        <f t="shared" si="1"/>
        <v>0</v>
      </c>
      <c r="F22" s="123">
        <v>0</v>
      </c>
      <c r="G22" s="124">
        <v>0</v>
      </c>
      <c r="H22" s="305">
        <v>0</v>
      </c>
      <c r="I22" s="305">
        <v>0</v>
      </c>
      <c r="J22" s="305">
        <v>0</v>
      </c>
      <c r="K22" s="125">
        <v>0</v>
      </c>
    </row>
    <row r="23" spans="1:11" ht="15.75" outlineLevel="1" thickBot="1" x14ac:dyDescent="0.3">
      <c r="A23" s="750"/>
      <c r="B23" s="751"/>
      <c r="C23" s="751"/>
      <c r="D23" s="70" t="s">
        <v>34</v>
      </c>
      <c r="E23" s="74">
        <f t="shared" si="1"/>
        <v>0</v>
      </c>
      <c r="F23" s="126">
        <v>0</v>
      </c>
      <c r="G23" s="127">
        <v>0</v>
      </c>
      <c r="H23" s="306">
        <v>0</v>
      </c>
      <c r="I23" s="306">
        <v>0</v>
      </c>
      <c r="J23" s="306">
        <v>0</v>
      </c>
      <c r="K23" s="128">
        <v>0</v>
      </c>
    </row>
    <row r="24" spans="1:11" outlineLevel="1" x14ac:dyDescent="0.25">
      <c r="A24" s="750" t="s">
        <v>96</v>
      </c>
      <c r="B24" s="751" t="s">
        <v>82</v>
      </c>
      <c r="C24" s="751">
        <v>637001</v>
      </c>
      <c r="D24" s="68" t="s">
        <v>25</v>
      </c>
      <c r="E24" s="73">
        <f t="shared" si="1"/>
        <v>0</v>
      </c>
      <c r="F24" s="120">
        <v>0</v>
      </c>
      <c r="G24" s="121">
        <v>0</v>
      </c>
      <c r="H24" s="304">
        <v>0</v>
      </c>
      <c r="I24" s="304">
        <v>0</v>
      </c>
      <c r="J24" s="304">
        <v>0</v>
      </c>
      <c r="K24" s="122">
        <v>0</v>
      </c>
    </row>
    <row r="25" spans="1:11" outlineLevel="1" x14ac:dyDescent="0.25">
      <c r="A25" s="750"/>
      <c r="B25" s="751"/>
      <c r="C25" s="751"/>
      <c r="D25" s="69" t="s">
        <v>26</v>
      </c>
      <c r="E25" s="73">
        <f t="shared" si="1"/>
        <v>0</v>
      </c>
      <c r="F25" s="123">
        <v>0</v>
      </c>
      <c r="G25" s="124">
        <v>0</v>
      </c>
      <c r="H25" s="305">
        <v>0</v>
      </c>
      <c r="I25" s="305">
        <v>0</v>
      </c>
      <c r="J25" s="305">
        <v>0</v>
      </c>
      <c r="K25" s="125">
        <v>0</v>
      </c>
    </row>
    <row r="26" spans="1:11" outlineLevel="1" x14ac:dyDescent="0.25">
      <c r="A26" s="750"/>
      <c r="B26" s="751"/>
      <c r="C26" s="751"/>
      <c r="D26" s="69" t="s">
        <v>27</v>
      </c>
      <c r="E26" s="73">
        <f t="shared" si="1"/>
        <v>0</v>
      </c>
      <c r="F26" s="123">
        <v>0</v>
      </c>
      <c r="G26" s="124">
        <v>0</v>
      </c>
      <c r="H26" s="305">
        <v>0</v>
      </c>
      <c r="I26" s="305">
        <v>0</v>
      </c>
      <c r="J26" s="305">
        <v>0</v>
      </c>
      <c r="K26" s="125">
        <v>0</v>
      </c>
    </row>
    <row r="27" spans="1:11" outlineLevel="1" x14ac:dyDescent="0.25">
      <c r="A27" s="750"/>
      <c r="B27" s="751"/>
      <c r="C27" s="751"/>
      <c r="D27" s="69" t="s">
        <v>28</v>
      </c>
      <c r="E27" s="73">
        <f t="shared" si="1"/>
        <v>0</v>
      </c>
      <c r="F27" s="123">
        <v>0</v>
      </c>
      <c r="G27" s="124">
        <v>0</v>
      </c>
      <c r="H27" s="305">
        <v>0</v>
      </c>
      <c r="I27" s="305">
        <v>0</v>
      </c>
      <c r="J27" s="305">
        <v>0</v>
      </c>
      <c r="K27" s="125">
        <v>0</v>
      </c>
    </row>
    <row r="28" spans="1:11" outlineLevel="1" x14ac:dyDescent="0.25">
      <c r="A28" s="750"/>
      <c r="B28" s="751"/>
      <c r="C28" s="751"/>
      <c r="D28" s="69" t="s">
        <v>29</v>
      </c>
      <c r="E28" s="73">
        <f t="shared" si="1"/>
        <v>0</v>
      </c>
      <c r="F28" s="123">
        <v>0</v>
      </c>
      <c r="G28" s="124">
        <v>0</v>
      </c>
      <c r="H28" s="305">
        <v>0</v>
      </c>
      <c r="I28" s="305">
        <v>0</v>
      </c>
      <c r="J28" s="305">
        <v>0</v>
      </c>
      <c r="K28" s="125">
        <v>0</v>
      </c>
    </row>
    <row r="29" spans="1:11" outlineLevel="1" x14ac:dyDescent="0.25">
      <c r="A29" s="750"/>
      <c r="B29" s="751"/>
      <c r="C29" s="751"/>
      <c r="D29" s="69" t="s">
        <v>30</v>
      </c>
      <c r="E29" s="73">
        <f t="shared" si="1"/>
        <v>0</v>
      </c>
      <c r="F29" s="123">
        <v>0</v>
      </c>
      <c r="G29" s="124">
        <v>0</v>
      </c>
      <c r="H29" s="305">
        <v>0</v>
      </c>
      <c r="I29" s="305">
        <v>0</v>
      </c>
      <c r="J29" s="305">
        <v>0</v>
      </c>
      <c r="K29" s="125">
        <v>0</v>
      </c>
    </row>
    <row r="30" spans="1:11" outlineLevel="1" x14ac:dyDescent="0.25">
      <c r="A30" s="750"/>
      <c r="B30" s="751"/>
      <c r="C30" s="751"/>
      <c r="D30" s="69" t="s">
        <v>31</v>
      </c>
      <c r="E30" s="73">
        <f t="shared" si="1"/>
        <v>0</v>
      </c>
      <c r="F30" s="123">
        <v>0</v>
      </c>
      <c r="G30" s="124">
        <v>0</v>
      </c>
      <c r="H30" s="305">
        <v>0</v>
      </c>
      <c r="I30" s="305">
        <v>0</v>
      </c>
      <c r="J30" s="305">
        <v>0</v>
      </c>
      <c r="K30" s="125">
        <v>0</v>
      </c>
    </row>
    <row r="31" spans="1:11" outlineLevel="1" x14ac:dyDescent="0.25">
      <c r="A31" s="750"/>
      <c r="B31" s="751"/>
      <c r="C31" s="751"/>
      <c r="D31" s="69" t="s">
        <v>32</v>
      </c>
      <c r="E31" s="73">
        <f t="shared" si="1"/>
        <v>0</v>
      </c>
      <c r="F31" s="123">
        <v>0</v>
      </c>
      <c r="G31" s="124">
        <v>0</v>
      </c>
      <c r="H31" s="305">
        <v>0</v>
      </c>
      <c r="I31" s="305">
        <v>0</v>
      </c>
      <c r="J31" s="305">
        <v>0</v>
      </c>
      <c r="K31" s="125">
        <v>0</v>
      </c>
    </row>
    <row r="32" spans="1:11" outlineLevel="1" x14ac:dyDescent="0.25">
      <c r="A32" s="750"/>
      <c r="B32" s="751"/>
      <c r="C32" s="751"/>
      <c r="D32" s="69" t="s">
        <v>33</v>
      </c>
      <c r="E32" s="73">
        <f t="shared" si="1"/>
        <v>0</v>
      </c>
      <c r="F32" s="123">
        <v>0</v>
      </c>
      <c r="G32" s="124">
        <v>0</v>
      </c>
      <c r="H32" s="305">
        <v>0</v>
      </c>
      <c r="I32" s="305">
        <v>0</v>
      </c>
      <c r="J32" s="305">
        <v>0</v>
      </c>
      <c r="K32" s="125">
        <v>0</v>
      </c>
    </row>
    <row r="33" spans="1:11" ht="15.75" outlineLevel="1" thickBot="1" x14ac:dyDescent="0.3">
      <c r="A33" s="750"/>
      <c r="B33" s="751"/>
      <c r="C33" s="751"/>
      <c r="D33" s="70" t="s">
        <v>34</v>
      </c>
      <c r="E33" s="73">
        <f t="shared" si="1"/>
        <v>0</v>
      </c>
      <c r="F33" s="126">
        <v>0</v>
      </c>
      <c r="G33" s="127">
        <v>0</v>
      </c>
      <c r="H33" s="306">
        <v>0</v>
      </c>
      <c r="I33" s="306">
        <v>0</v>
      </c>
      <c r="J33" s="306">
        <v>0</v>
      </c>
      <c r="K33" s="128">
        <v>0</v>
      </c>
    </row>
    <row r="34" spans="1:11" ht="15.75" thickBot="1" x14ac:dyDescent="0.3">
      <c r="A34" s="752" t="s">
        <v>93</v>
      </c>
      <c r="B34" s="752"/>
      <c r="C34" s="752"/>
      <c r="D34" s="77"/>
      <c r="E34" s="78">
        <f t="shared" ref="E34:K34" si="2">SUM(E35:E84)</f>
        <v>38300000</v>
      </c>
      <c r="F34" s="79">
        <f t="shared" si="2"/>
        <v>22100000</v>
      </c>
      <c r="G34" s="79">
        <f t="shared" si="2"/>
        <v>13950000</v>
      </c>
      <c r="H34" s="299">
        <f t="shared" si="2"/>
        <v>2250000</v>
      </c>
      <c r="I34" s="299">
        <f t="shared" si="2"/>
        <v>0</v>
      </c>
      <c r="J34" s="299">
        <f>SUM(J35:J84)</f>
        <v>0</v>
      </c>
      <c r="K34" s="80">
        <f t="shared" si="2"/>
        <v>0</v>
      </c>
    </row>
    <row r="35" spans="1:11" outlineLevel="1" x14ac:dyDescent="0.25">
      <c r="A35" s="750" t="s">
        <v>98</v>
      </c>
      <c r="B35" s="751" t="s">
        <v>85</v>
      </c>
      <c r="C35" s="751">
        <v>635002</v>
      </c>
      <c r="D35" s="68" t="s">
        <v>25</v>
      </c>
      <c r="E35" s="72">
        <f t="shared" ref="E35:E84" si="3">SUM(F35:K35)</f>
        <v>1300000</v>
      </c>
      <c r="F35" s="120">
        <v>1300000</v>
      </c>
      <c r="G35" s="121">
        <v>0</v>
      </c>
      <c r="H35" s="304">
        <v>0</v>
      </c>
      <c r="I35" s="304">
        <v>0</v>
      </c>
      <c r="J35" s="304">
        <v>0</v>
      </c>
      <c r="K35" s="122">
        <v>0</v>
      </c>
    </row>
    <row r="36" spans="1:11" outlineLevel="1" x14ac:dyDescent="0.25">
      <c r="A36" s="750"/>
      <c r="B36" s="751"/>
      <c r="C36" s="751"/>
      <c r="D36" s="69" t="s">
        <v>26</v>
      </c>
      <c r="E36" s="73">
        <f t="shared" si="3"/>
        <v>2380000</v>
      </c>
      <c r="F36" s="123">
        <v>1300000</v>
      </c>
      <c r="G36" s="124">
        <v>930000</v>
      </c>
      <c r="H36" s="305">
        <v>150000</v>
      </c>
      <c r="I36" s="305">
        <v>0</v>
      </c>
      <c r="J36" s="305">
        <v>0</v>
      </c>
      <c r="K36" s="125">
        <v>0</v>
      </c>
    </row>
    <row r="37" spans="1:11" outlineLevel="1" x14ac:dyDescent="0.25">
      <c r="A37" s="750"/>
      <c r="B37" s="751"/>
      <c r="C37" s="751"/>
      <c r="D37" s="69" t="s">
        <v>27</v>
      </c>
      <c r="E37" s="73">
        <f t="shared" si="3"/>
        <v>2380000</v>
      </c>
      <c r="F37" s="123">
        <v>1300000</v>
      </c>
      <c r="G37" s="124">
        <v>930000</v>
      </c>
      <c r="H37" s="305">
        <v>150000</v>
      </c>
      <c r="I37" s="305">
        <v>0</v>
      </c>
      <c r="J37" s="305">
        <v>0</v>
      </c>
      <c r="K37" s="125">
        <v>0</v>
      </c>
    </row>
    <row r="38" spans="1:11" outlineLevel="1" x14ac:dyDescent="0.25">
      <c r="A38" s="750"/>
      <c r="B38" s="751"/>
      <c r="C38" s="751"/>
      <c r="D38" s="69" t="s">
        <v>28</v>
      </c>
      <c r="E38" s="73">
        <f t="shared" si="3"/>
        <v>3680000</v>
      </c>
      <c r="F38" s="123">
        <v>2600000</v>
      </c>
      <c r="G38" s="124">
        <v>930000</v>
      </c>
      <c r="H38" s="305">
        <v>150000</v>
      </c>
      <c r="I38" s="305">
        <v>0</v>
      </c>
      <c r="J38" s="305">
        <v>0</v>
      </c>
      <c r="K38" s="125">
        <v>0</v>
      </c>
    </row>
    <row r="39" spans="1:11" outlineLevel="1" x14ac:dyDescent="0.25">
      <c r="A39" s="750"/>
      <c r="B39" s="751"/>
      <c r="C39" s="751"/>
      <c r="D39" s="69" t="s">
        <v>29</v>
      </c>
      <c r="E39" s="73">
        <f t="shared" si="3"/>
        <v>4760000</v>
      </c>
      <c r="F39" s="123">
        <v>2600000</v>
      </c>
      <c r="G39" s="124">
        <v>1860000</v>
      </c>
      <c r="H39" s="305">
        <v>300000</v>
      </c>
      <c r="I39" s="305">
        <v>0</v>
      </c>
      <c r="J39" s="305">
        <v>0</v>
      </c>
      <c r="K39" s="125">
        <v>0</v>
      </c>
    </row>
    <row r="40" spans="1:11" outlineLevel="1" x14ac:dyDescent="0.25">
      <c r="A40" s="750"/>
      <c r="B40" s="751"/>
      <c r="C40" s="751"/>
      <c r="D40" s="69" t="s">
        <v>30</v>
      </c>
      <c r="E40" s="73">
        <f t="shared" si="3"/>
        <v>4760000</v>
      </c>
      <c r="F40" s="123">
        <v>2600000</v>
      </c>
      <c r="G40" s="124">
        <v>1860000</v>
      </c>
      <c r="H40" s="305">
        <v>300000</v>
      </c>
      <c r="I40" s="305">
        <v>0</v>
      </c>
      <c r="J40" s="305">
        <v>0</v>
      </c>
      <c r="K40" s="125">
        <v>0</v>
      </c>
    </row>
    <row r="41" spans="1:11" outlineLevel="1" x14ac:dyDescent="0.25">
      <c r="A41" s="750"/>
      <c r="B41" s="751"/>
      <c r="C41" s="751"/>
      <c r="D41" s="69" t="s">
        <v>31</v>
      </c>
      <c r="E41" s="73">
        <f t="shared" si="3"/>
        <v>4760000</v>
      </c>
      <c r="F41" s="123">
        <v>2600000</v>
      </c>
      <c r="G41" s="124">
        <v>1860000</v>
      </c>
      <c r="H41" s="305">
        <v>300000</v>
      </c>
      <c r="I41" s="305">
        <v>0</v>
      </c>
      <c r="J41" s="305">
        <v>0</v>
      </c>
      <c r="K41" s="125">
        <v>0</v>
      </c>
    </row>
    <row r="42" spans="1:11" outlineLevel="1" x14ac:dyDescent="0.25">
      <c r="A42" s="750"/>
      <c r="B42" s="751"/>
      <c r="C42" s="751"/>
      <c r="D42" s="69" t="s">
        <v>32</v>
      </c>
      <c r="E42" s="73">
        <f t="shared" si="3"/>
        <v>4760000</v>
      </c>
      <c r="F42" s="123">
        <v>2600000</v>
      </c>
      <c r="G42" s="124">
        <v>1860000</v>
      </c>
      <c r="H42" s="305">
        <v>300000</v>
      </c>
      <c r="I42" s="305">
        <v>0</v>
      </c>
      <c r="J42" s="305">
        <v>0</v>
      </c>
      <c r="K42" s="125">
        <v>0</v>
      </c>
    </row>
    <row r="43" spans="1:11" outlineLevel="1" x14ac:dyDescent="0.25">
      <c r="A43" s="750"/>
      <c r="B43" s="751"/>
      <c r="C43" s="751"/>
      <c r="D43" s="69" t="s">
        <v>33</v>
      </c>
      <c r="E43" s="73">
        <f t="shared" si="3"/>
        <v>4760000</v>
      </c>
      <c r="F43" s="123">
        <v>2600000</v>
      </c>
      <c r="G43" s="124">
        <v>1860000</v>
      </c>
      <c r="H43" s="305">
        <v>300000</v>
      </c>
      <c r="I43" s="305">
        <v>0</v>
      </c>
      <c r="J43" s="305">
        <v>0</v>
      </c>
      <c r="K43" s="125">
        <v>0</v>
      </c>
    </row>
    <row r="44" spans="1:11" ht="15.75" outlineLevel="1" thickBot="1" x14ac:dyDescent="0.3">
      <c r="A44" s="750"/>
      <c r="B44" s="751"/>
      <c r="C44" s="751"/>
      <c r="D44" s="70" t="s">
        <v>34</v>
      </c>
      <c r="E44" s="74">
        <f t="shared" si="3"/>
        <v>4760000</v>
      </c>
      <c r="F44" s="126">
        <v>2600000</v>
      </c>
      <c r="G44" s="127">
        <v>1860000</v>
      </c>
      <c r="H44" s="306">
        <v>300000</v>
      </c>
      <c r="I44" s="306">
        <v>0</v>
      </c>
      <c r="J44" s="306">
        <v>0</v>
      </c>
      <c r="K44" s="128">
        <v>0</v>
      </c>
    </row>
    <row r="45" spans="1:11" outlineLevel="1" x14ac:dyDescent="0.25">
      <c r="A45" s="750" t="s">
        <v>99</v>
      </c>
      <c r="B45" s="750" t="s">
        <v>97</v>
      </c>
      <c r="C45" s="751">
        <v>718002</v>
      </c>
      <c r="D45" s="68" t="s">
        <v>25</v>
      </c>
      <c r="E45" s="73">
        <f t="shared" si="3"/>
        <v>0</v>
      </c>
      <c r="F45" s="120">
        <v>0</v>
      </c>
      <c r="G45" s="121">
        <v>0</v>
      </c>
      <c r="H45" s="304">
        <v>0</v>
      </c>
      <c r="I45" s="304">
        <v>0</v>
      </c>
      <c r="J45" s="304">
        <v>0</v>
      </c>
      <c r="K45" s="122">
        <v>0</v>
      </c>
    </row>
    <row r="46" spans="1:11" outlineLevel="1" x14ac:dyDescent="0.25">
      <c r="A46" s="750"/>
      <c r="B46" s="751"/>
      <c r="C46" s="751"/>
      <c r="D46" s="69" t="s">
        <v>26</v>
      </c>
      <c r="E46" s="73">
        <f t="shared" si="3"/>
        <v>0</v>
      </c>
      <c r="F46" s="123">
        <v>0</v>
      </c>
      <c r="G46" s="124">
        <v>0</v>
      </c>
      <c r="H46" s="305">
        <v>0</v>
      </c>
      <c r="I46" s="305">
        <v>0</v>
      </c>
      <c r="J46" s="305">
        <v>0</v>
      </c>
      <c r="K46" s="125">
        <v>0</v>
      </c>
    </row>
    <row r="47" spans="1:11" outlineLevel="1" x14ac:dyDescent="0.25">
      <c r="A47" s="750"/>
      <c r="B47" s="751"/>
      <c r="C47" s="751"/>
      <c r="D47" s="69" t="s">
        <v>27</v>
      </c>
      <c r="E47" s="73">
        <f t="shared" si="3"/>
        <v>0</v>
      </c>
      <c r="F47" s="123">
        <v>0</v>
      </c>
      <c r="G47" s="124">
        <v>0</v>
      </c>
      <c r="H47" s="305">
        <v>0</v>
      </c>
      <c r="I47" s="305">
        <v>0</v>
      </c>
      <c r="J47" s="305">
        <v>0</v>
      </c>
      <c r="K47" s="125">
        <v>0</v>
      </c>
    </row>
    <row r="48" spans="1:11" outlineLevel="1" x14ac:dyDescent="0.25">
      <c r="A48" s="750"/>
      <c r="B48" s="751"/>
      <c r="C48" s="751"/>
      <c r="D48" s="69" t="s">
        <v>28</v>
      </c>
      <c r="E48" s="73">
        <f t="shared" si="3"/>
        <v>0</v>
      </c>
      <c r="F48" s="123">
        <v>0</v>
      </c>
      <c r="G48" s="124">
        <v>0</v>
      </c>
      <c r="H48" s="305">
        <v>0</v>
      </c>
      <c r="I48" s="305">
        <v>0</v>
      </c>
      <c r="J48" s="305">
        <v>0</v>
      </c>
      <c r="K48" s="125">
        <v>0</v>
      </c>
    </row>
    <row r="49" spans="1:11" outlineLevel="1" x14ac:dyDescent="0.25">
      <c r="A49" s="750"/>
      <c r="B49" s="751"/>
      <c r="C49" s="751"/>
      <c r="D49" s="69" t="s">
        <v>29</v>
      </c>
      <c r="E49" s="73">
        <f t="shared" si="3"/>
        <v>0</v>
      </c>
      <c r="F49" s="123">
        <v>0</v>
      </c>
      <c r="G49" s="124">
        <v>0</v>
      </c>
      <c r="H49" s="305">
        <v>0</v>
      </c>
      <c r="I49" s="305">
        <v>0</v>
      </c>
      <c r="J49" s="305">
        <v>0</v>
      </c>
      <c r="K49" s="125">
        <v>0</v>
      </c>
    </row>
    <row r="50" spans="1:11" outlineLevel="1" x14ac:dyDescent="0.25">
      <c r="A50" s="750"/>
      <c r="B50" s="751"/>
      <c r="C50" s="751"/>
      <c r="D50" s="69" t="s">
        <v>30</v>
      </c>
      <c r="E50" s="73">
        <f t="shared" si="3"/>
        <v>0</v>
      </c>
      <c r="F50" s="123">
        <v>0</v>
      </c>
      <c r="G50" s="124">
        <v>0</v>
      </c>
      <c r="H50" s="305">
        <v>0</v>
      </c>
      <c r="I50" s="305">
        <v>0</v>
      </c>
      <c r="J50" s="305">
        <v>0</v>
      </c>
      <c r="K50" s="125">
        <v>0</v>
      </c>
    </row>
    <row r="51" spans="1:11" outlineLevel="1" x14ac:dyDescent="0.25">
      <c r="A51" s="750"/>
      <c r="B51" s="751"/>
      <c r="C51" s="751"/>
      <c r="D51" s="69" t="s">
        <v>31</v>
      </c>
      <c r="E51" s="73">
        <f t="shared" si="3"/>
        <v>0</v>
      </c>
      <c r="F51" s="123">
        <v>0</v>
      </c>
      <c r="G51" s="124">
        <v>0</v>
      </c>
      <c r="H51" s="305">
        <v>0</v>
      </c>
      <c r="I51" s="305">
        <v>0</v>
      </c>
      <c r="J51" s="305">
        <v>0</v>
      </c>
      <c r="K51" s="125">
        <v>0</v>
      </c>
    </row>
    <row r="52" spans="1:11" outlineLevel="1" x14ac:dyDescent="0.25">
      <c r="A52" s="750"/>
      <c r="B52" s="751"/>
      <c r="C52" s="751"/>
      <c r="D52" s="69" t="s">
        <v>32</v>
      </c>
      <c r="E52" s="73">
        <f t="shared" si="3"/>
        <v>0</v>
      </c>
      <c r="F52" s="123">
        <v>0</v>
      </c>
      <c r="G52" s="124">
        <v>0</v>
      </c>
      <c r="H52" s="305">
        <v>0</v>
      </c>
      <c r="I52" s="305">
        <v>0</v>
      </c>
      <c r="J52" s="305">
        <v>0</v>
      </c>
      <c r="K52" s="125">
        <v>0</v>
      </c>
    </row>
    <row r="53" spans="1:11" outlineLevel="1" x14ac:dyDescent="0.25">
      <c r="A53" s="750"/>
      <c r="B53" s="751"/>
      <c r="C53" s="751"/>
      <c r="D53" s="69" t="s">
        <v>33</v>
      </c>
      <c r="E53" s="73">
        <f t="shared" si="3"/>
        <v>0</v>
      </c>
      <c r="F53" s="123">
        <v>0</v>
      </c>
      <c r="G53" s="124">
        <v>0</v>
      </c>
      <c r="H53" s="305">
        <v>0</v>
      </c>
      <c r="I53" s="305">
        <v>0</v>
      </c>
      <c r="J53" s="305">
        <v>0</v>
      </c>
      <c r="K53" s="125">
        <v>0</v>
      </c>
    </row>
    <row r="54" spans="1:11" ht="15.75" outlineLevel="1" thickBot="1" x14ac:dyDescent="0.3">
      <c r="A54" s="750"/>
      <c r="B54" s="751"/>
      <c r="C54" s="751"/>
      <c r="D54" s="70" t="s">
        <v>34</v>
      </c>
      <c r="E54" s="74">
        <f t="shared" si="3"/>
        <v>0</v>
      </c>
      <c r="F54" s="126">
        <v>0</v>
      </c>
      <c r="G54" s="127">
        <v>0</v>
      </c>
      <c r="H54" s="306">
        <v>0</v>
      </c>
      <c r="I54" s="306">
        <v>0</v>
      </c>
      <c r="J54" s="306">
        <v>0</v>
      </c>
      <c r="K54" s="128">
        <v>0</v>
      </c>
    </row>
    <row r="55" spans="1:11" outlineLevel="1" x14ac:dyDescent="0.25">
      <c r="A55" s="750" t="s">
        <v>100</v>
      </c>
      <c r="B55" s="751"/>
      <c r="C55" s="751"/>
      <c r="D55" s="68" t="s">
        <v>25</v>
      </c>
      <c r="E55" s="73">
        <f t="shared" si="3"/>
        <v>0</v>
      </c>
      <c r="F55" s="120">
        <v>0</v>
      </c>
      <c r="G55" s="121">
        <v>0</v>
      </c>
      <c r="H55" s="304">
        <v>0</v>
      </c>
      <c r="I55" s="304">
        <v>0</v>
      </c>
      <c r="J55" s="304">
        <v>0</v>
      </c>
      <c r="K55" s="122">
        <v>0</v>
      </c>
    </row>
    <row r="56" spans="1:11" outlineLevel="1" x14ac:dyDescent="0.25">
      <c r="A56" s="750"/>
      <c r="B56" s="751"/>
      <c r="C56" s="751"/>
      <c r="D56" s="69" t="s">
        <v>26</v>
      </c>
      <c r="E56" s="73">
        <f t="shared" si="3"/>
        <v>0</v>
      </c>
      <c r="F56" s="123">
        <v>0</v>
      </c>
      <c r="G56" s="124">
        <v>0</v>
      </c>
      <c r="H56" s="305">
        <v>0</v>
      </c>
      <c r="I56" s="305">
        <v>0</v>
      </c>
      <c r="J56" s="305">
        <v>0</v>
      </c>
      <c r="K56" s="125">
        <v>0</v>
      </c>
    </row>
    <row r="57" spans="1:11" outlineLevel="1" x14ac:dyDescent="0.25">
      <c r="A57" s="750"/>
      <c r="B57" s="751"/>
      <c r="C57" s="751"/>
      <c r="D57" s="69" t="s">
        <v>27</v>
      </c>
      <c r="E57" s="73">
        <f t="shared" si="3"/>
        <v>0</v>
      </c>
      <c r="F57" s="123">
        <v>0</v>
      </c>
      <c r="G57" s="124">
        <v>0</v>
      </c>
      <c r="H57" s="305">
        <v>0</v>
      </c>
      <c r="I57" s="305">
        <v>0</v>
      </c>
      <c r="J57" s="305">
        <v>0</v>
      </c>
      <c r="K57" s="125">
        <v>0</v>
      </c>
    </row>
    <row r="58" spans="1:11" outlineLevel="1" x14ac:dyDescent="0.25">
      <c r="A58" s="750"/>
      <c r="B58" s="751"/>
      <c r="C58" s="751"/>
      <c r="D58" s="69" t="s">
        <v>28</v>
      </c>
      <c r="E58" s="73">
        <f t="shared" si="3"/>
        <v>0</v>
      </c>
      <c r="F58" s="123">
        <v>0</v>
      </c>
      <c r="G58" s="124">
        <v>0</v>
      </c>
      <c r="H58" s="305">
        <v>0</v>
      </c>
      <c r="I58" s="305">
        <v>0</v>
      </c>
      <c r="J58" s="305">
        <v>0</v>
      </c>
      <c r="K58" s="125">
        <v>0</v>
      </c>
    </row>
    <row r="59" spans="1:11" outlineLevel="1" x14ac:dyDescent="0.25">
      <c r="A59" s="750"/>
      <c r="B59" s="751"/>
      <c r="C59" s="751"/>
      <c r="D59" s="69" t="s">
        <v>29</v>
      </c>
      <c r="E59" s="73">
        <f t="shared" si="3"/>
        <v>0</v>
      </c>
      <c r="F59" s="123">
        <v>0</v>
      </c>
      <c r="G59" s="124">
        <v>0</v>
      </c>
      <c r="H59" s="305">
        <v>0</v>
      </c>
      <c r="I59" s="305">
        <v>0</v>
      </c>
      <c r="J59" s="305">
        <v>0</v>
      </c>
      <c r="K59" s="125">
        <v>0</v>
      </c>
    </row>
    <row r="60" spans="1:11" outlineLevel="1" x14ac:dyDescent="0.25">
      <c r="A60" s="750"/>
      <c r="B60" s="751"/>
      <c r="C60" s="751"/>
      <c r="D60" s="69" t="s">
        <v>30</v>
      </c>
      <c r="E60" s="73">
        <f t="shared" si="3"/>
        <v>0</v>
      </c>
      <c r="F60" s="123">
        <v>0</v>
      </c>
      <c r="G60" s="124">
        <v>0</v>
      </c>
      <c r="H60" s="305">
        <v>0</v>
      </c>
      <c r="I60" s="305">
        <v>0</v>
      </c>
      <c r="J60" s="305">
        <v>0</v>
      </c>
      <c r="K60" s="125">
        <v>0</v>
      </c>
    </row>
    <row r="61" spans="1:11" outlineLevel="1" x14ac:dyDescent="0.25">
      <c r="A61" s="750"/>
      <c r="B61" s="751"/>
      <c r="C61" s="751"/>
      <c r="D61" s="69" t="s">
        <v>31</v>
      </c>
      <c r="E61" s="73">
        <f t="shared" si="3"/>
        <v>0</v>
      </c>
      <c r="F61" s="123">
        <v>0</v>
      </c>
      <c r="G61" s="124">
        <v>0</v>
      </c>
      <c r="H61" s="305">
        <v>0</v>
      </c>
      <c r="I61" s="305">
        <v>0</v>
      </c>
      <c r="J61" s="305">
        <v>0</v>
      </c>
      <c r="K61" s="125">
        <v>0</v>
      </c>
    </row>
    <row r="62" spans="1:11" outlineLevel="1" x14ac:dyDescent="0.25">
      <c r="A62" s="750"/>
      <c r="B62" s="751"/>
      <c r="C62" s="751"/>
      <c r="D62" s="69" t="s">
        <v>32</v>
      </c>
      <c r="E62" s="73">
        <f t="shared" si="3"/>
        <v>0</v>
      </c>
      <c r="F62" s="123">
        <v>0</v>
      </c>
      <c r="G62" s="124">
        <v>0</v>
      </c>
      <c r="H62" s="305">
        <v>0</v>
      </c>
      <c r="I62" s="305">
        <v>0</v>
      </c>
      <c r="J62" s="305">
        <v>0</v>
      </c>
      <c r="K62" s="125">
        <v>0</v>
      </c>
    </row>
    <row r="63" spans="1:11" outlineLevel="1" x14ac:dyDescent="0.25">
      <c r="A63" s="750"/>
      <c r="B63" s="751"/>
      <c r="C63" s="751"/>
      <c r="D63" s="69" t="s">
        <v>33</v>
      </c>
      <c r="E63" s="73">
        <f t="shared" si="3"/>
        <v>0</v>
      </c>
      <c r="F63" s="123">
        <v>0</v>
      </c>
      <c r="G63" s="124">
        <v>0</v>
      </c>
      <c r="H63" s="305">
        <v>0</v>
      </c>
      <c r="I63" s="305">
        <v>0</v>
      </c>
      <c r="J63" s="305">
        <v>0</v>
      </c>
      <c r="K63" s="125">
        <v>0</v>
      </c>
    </row>
    <row r="64" spans="1:11" ht="15.75" outlineLevel="1" thickBot="1" x14ac:dyDescent="0.3">
      <c r="A64" s="750"/>
      <c r="B64" s="751"/>
      <c r="C64" s="751"/>
      <c r="D64" s="70" t="s">
        <v>34</v>
      </c>
      <c r="E64" s="74">
        <f t="shared" si="3"/>
        <v>0</v>
      </c>
      <c r="F64" s="126">
        <v>0</v>
      </c>
      <c r="G64" s="127">
        <v>0</v>
      </c>
      <c r="H64" s="306">
        <v>0</v>
      </c>
      <c r="I64" s="306">
        <v>0</v>
      </c>
      <c r="J64" s="306">
        <v>0</v>
      </c>
      <c r="K64" s="128">
        <v>0</v>
      </c>
    </row>
    <row r="65" spans="1:11" outlineLevel="1" x14ac:dyDescent="0.25">
      <c r="A65" s="750" t="s">
        <v>101</v>
      </c>
      <c r="B65" s="751"/>
      <c r="C65" s="751"/>
      <c r="D65" s="68" t="s">
        <v>25</v>
      </c>
      <c r="E65" s="73">
        <f t="shared" si="3"/>
        <v>0</v>
      </c>
      <c r="F65" s="120">
        <v>0</v>
      </c>
      <c r="G65" s="121">
        <v>0</v>
      </c>
      <c r="H65" s="304">
        <v>0</v>
      </c>
      <c r="I65" s="304">
        <v>0</v>
      </c>
      <c r="J65" s="304">
        <v>0</v>
      </c>
      <c r="K65" s="122">
        <v>0</v>
      </c>
    </row>
    <row r="66" spans="1:11" outlineLevel="1" x14ac:dyDescent="0.25">
      <c r="A66" s="750"/>
      <c r="B66" s="751"/>
      <c r="C66" s="751"/>
      <c r="D66" s="69" t="s">
        <v>26</v>
      </c>
      <c r="E66" s="73">
        <f t="shared" si="3"/>
        <v>0</v>
      </c>
      <c r="F66" s="123">
        <v>0</v>
      </c>
      <c r="G66" s="124">
        <v>0</v>
      </c>
      <c r="H66" s="305">
        <v>0</v>
      </c>
      <c r="I66" s="305">
        <v>0</v>
      </c>
      <c r="J66" s="305">
        <v>0</v>
      </c>
      <c r="K66" s="125">
        <v>0</v>
      </c>
    </row>
    <row r="67" spans="1:11" outlineLevel="1" x14ac:dyDescent="0.25">
      <c r="A67" s="750"/>
      <c r="B67" s="751"/>
      <c r="C67" s="751"/>
      <c r="D67" s="69" t="s">
        <v>27</v>
      </c>
      <c r="E67" s="73">
        <f t="shared" si="3"/>
        <v>0</v>
      </c>
      <c r="F67" s="123">
        <v>0</v>
      </c>
      <c r="G67" s="124">
        <v>0</v>
      </c>
      <c r="H67" s="305">
        <v>0</v>
      </c>
      <c r="I67" s="305">
        <v>0</v>
      </c>
      <c r="J67" s="305">
        <v>0</v>
      </c>
      <c r="K67" s="125">
        <v>0</v>
      </c>
    </row>
    <row r="68" spans="1:11" outlineLevel="1" x14ac:dyDescent="0.25">
      <c r="A68" s="750"/>
      <c r="B68" s="751"/>
      <c r="C68" s="751"/>
      <c r="D68" s="69" t="s">
        <v>28</v>
      </c>
      <c r="E68" s="73">
        <f t="shared" si="3"/>
        <v>0</v>
      </c>
      <c r="F68" s="123">
        <v>0</v>
      </c>
      <c r="G68" s="124">
        <v>0</v>
      </c>
      <c r="H68" s="305">
        <v>0</v>
      </c>
      <c r="I68" s="305">
        <v>0</v>
      </c>
      <c r="J68" s="305">
        <v>0</v>
      </c>
      <c r="K68" s="125">
        <v>0</v>
      </c>
    </row>
    <row r="69" spans="1:11" outlineLevel="1" x14ac:dyDescent="0.25">
      <c r="A69" s="750"/>
      <c r="B69" s="751"/>
      <c r="C69" s="751"/>
      <c r="D69" s="69" t="s">
        <v>29</v>
      </c>
      <c r="E69" s="73">
        <f t="shared" si="3"/>
        <v>0</v>
      </c>
      <c r="F69" s="123">
        <v>0</v>
      </c>
      <c r="G69" s="124">
        <v>0</v>
      </c>
      <c r="H69" s="305">
        <v>0</v>
      </c>
      <c r="I69" s="305">
        <v>0</v>
      </c>
      <c r="J69" s="305">
        <v>0</v>
      </c>
      <c r="K69" s="125">
        <v>0</v>
      </c>
    </row>
    <row r="70" spans="1:11" outlineLevel="1" x14ac:dyDescent="0.25">
      <c r="A70" s="750"/>
      <c r="B70" s="751"/>
      <c r="C70" s="751"/>
      <c r="D70" s="69" t="s">
        <v>30</v>
      </c>
      <c r="E70" s="73">
        <f t="shared" si="3"/>
        <v>0</v>
      </c>
      <c r="F70" s="123">
        <v>0</v>
      </c>
      <c r="G70" s="124">
        <v>0</v>
      </c>
      <c r="H70" s="305">
        <v>0</v>
      </c>
      <c r="I70" s="305">
        <v>0</v>
      </c>
      <c r="J70" s="305">
        <v>0</v>
      </c>
      <c r="K70" s="125">
        <v>0</v>
      </c>
    </row>
    <row r="71" spans="1:11" outlineLevel="1" x14ac:dyDescent="0.25">
      <c r="A71" s="750"/>
      <c r="B71" s="751"/>
      <c r="C71" s="751"/>
      <c r="D71" s="69" t="s">
        <v>31</v>
      </c>
      <c r="E71" s="73">
        <f t="shared" si="3"/>
        <v>0</v>
      </c>
      <c r="F71" s="123">
        <v>0</v>
      </c>
      <c r="G71" s="124">
        <v>0</v>
      </c>
      <c r="H71" s="305">
        <v>0</v>
      </c>
      <c r="I71" s="305">
        <v>0</v>
      </c>
      <c r="J71" s="305">
        <v>0</v>
      </c>
      <c r="K71" s="125">
        <v>0</v>
      </c>
    </row>
    <row r="72" spans="1:11" outlineLevel="1" x14ac:dyDescent="0.25">
      <c r="A72" s="750"/>
      <c r="B72" s="751"/>
      <c r="C72" s="751"/>
      <c r="D72" s="69" t="s">
        <v>32</v>
      </c>
      <c r="E72" s="73">
        <f t="shared" si="3"/>
        <v>0</v>
      </c>
      <c r="F72" s="123">
        <v>0</v>
      </c>
      <c r="G72" s="124">
        <v>0</v>
      </c>
      <c r="H72" s="305">
        <v>0</v>
      </c>
      <c r="I72" s="305">
        <v>0</v>
      </c>
      <c r="J72" s="305">
        <v>0</v>
      </c>
      <c r="K72" s="125">
        <v>0</v>
      </c>
    </row>
    <row r="73" spans="1:11" outlineLevel="1" x14ac:dyDescent="0.25">
      <c r="A73" s="750"/>
      <c r="B73" s="751"/>
      <c r="C73" s="751"/>
      <c r="D73" s="69" t="s">
        <v>33</v>
      </c>
      <c r="E73" s="73">
        <f t="shared" si="3"/>
        <v>0</v>
      </c>
      <c r="F73" s="123">
        <v>0</v>
      </c>
      <c r="G73" s="124">
        <v>0</v>
      </c>
      <c r="H73" s="305">
        <v>0</v>
      </c>
      <c r="I73" s="305">
        <v>0</v>
      </c>
      <c r="J73" s="305">
        <v>0</v>
      </c>
      <c r="K73" s="125">
        <v>0</v>
      </c>
    </row>
    <row r="74" spans="1:11" ht="15.75" outlineLevel="1" thickBot="1" x14ac:dyDescent="0.3">
      <c r="A74" s="750"/>
      <c r="B74" s="751"/>
      <c r="C74" s="751"/>
      <c r="D74" s="70" t="s">
        <v>34</v>
      </c>
      <c r="E74" s="74">
        <f t="shared" si="3"/>
        <v>0</v>
      </c>
      <c r="F74" s="126">
        <v>0</v>
      </c>
      <c r="G74" s="127">
        <v>0</v>
      </c>
      <c r="H74" s="306">
        <v>0</v>
      </c>
      <c r="I74" s="306">
        <v>0</v>
      </c>
      <c r="J74" s="306">
        <v>0</v>
      </c>
      <c r="K74" s="128">
        <v>0</v>
      </c>
    </row>
    <row r="75" spans="1:11" outlineLevel="1" x14ac:dyDescent="0.25">
      <c r="A75" s="750" t="s">
        <v>96</v>
      </c>
      <c r="B75" s="751" t="s">
        <v>82</v>
      </c>
      <c r="C75" s="751">
        <v>637001</v>
      </c>
      <c r="D75" s="68" t="s">
        <v>25</v>
      </c>
      <c r="E75" s="73">
        <f t="shared" si="3"/>
        <v>0</v>
      </c>
      <c r="F75" s="120">
        <v>0</v>
      </c>
      <c r="G75" s="121">
        <v>0</v>
      </c>
      <c r="H75" s="304">
        <v>0</v>
      </c>
      <c r="I75" s="304">
        <v>0</v>
      </c>
      <c r="J75" s="304">
        <v>0</v>
      </c>
      <c r="K75" s="122">
        <v>0</v>
      </c>
    </row>
    <row r="76" spans="1:11" outlineLevel="1" x14ac:dyDescent="0.25">
      <c r="A76" s="750"/>
      <c r="B76" s="751"/>
      <c r="C76" s="751"/>
      <c r="D76" s="69" t="s">
        <v>26</v>
      </c>
      <c r="E76" s="73">
        <f t="shared" si="3"/>
        <v>0</v>
      </c>
      <c r="F76" s="123">
        <v>0</v>
      </c>
      <c r="G76" s="124">
        <v>0</v>
      </c>
      <c r="H76" s="305">
        <v>0</v>
      </c>
      <c r="I76" s="305">
        <v>0</v>
      </c>
      <c r="J76" s="305">
        <v>0</v>
      </c>
      <c r="K76" s="125">
        <v>0</v>
      </c>
    </row>
    <row r="77" spans="1:11" outlineLevel="1" x14ac:dyDescent="0.25">
      <c r="A77" s="750"/>
      <c r="B77" s="751"/>
      <c r="C77" s="751"/>
      <c r="D77" s="69" t="s">
        <v>27</v>
      </c>
      <c r="E77" s="73">
        <f t="shared" si="3"/>
        <v>0</v>
      </c>
      <c r="F77" s="123">
        <v>0</v>
      </c>
      <c r="G77" s="124">
        <v>0</v>
      </c>
      <c r="H77" s="305">
        <v>0</v>
      </c>
      <c r="I77" s="305">
        <v>0</v>
      </c>
      <c r="J77" s="305">
        <v>0</v>
      </c>
      <c r="K77" s="125">
        <v>0</v>
      </c>
    </row>
    <row r="78" spans="1:11" outlineLevel="1" x14ac:dyDescent="0.25">
      <c r="A78" s="750"/>
      <c r="B78" s="751"/>
      <c r="C78" s="751"/>
      <c r="D78" s="69" t="s">
        <v>28</v>
      </c>
      <c r="E78" s="73">
        <f t="shared" si="3"/>
        <v>0</v>
      </c>
      <c r="F78" s="123">
        <v>0</v>
      </c>
      <c r="G78" s="124">
        <v>0</v>
      </c>
      <c r="H78" s="305">
        <v>0</v>
      </c>
      <c r="I78" s="305">
        <v>0</v>
      </c>
      <c r="J78" s="305">
        <v>0</v>
      </c>
      <c r="K78" s="125">
        <v>0</v>
      </c>
    </row>
    <row r="79" spans="1:11" outlineLevel="1" x14ac:dyDescent="0.25">
      <c r="A79" s="750"/>
      <c r="B79" s="751"/>
      <c r="C79" s="751"/>
      <c r="D79" s="69" t="s">
        <v>29</v>
      </c>
      <c r="E79" s="73">
        <f t="shared" si="3"/>
        <v>0</v>
      </c>
      <c r="F79" s="123">
        <v>0</v>
      </c>
      <c r="G79" s="124">
        <v>0</v>
      </c>
      <c r="H79" s="305">
        <v>0</v>
      </c>
      <c r="I79" s="305">
        <v>0</v>
      </c>
      <c r="J79" s="305">
        <v>0</v>
      </c>
      <c r="K79" s="125">
        <v>0</v>
      </c>
    </row>
    <row r="80" spans="1:11" outlineLevel="1" x14ac:dyDescent="0.25">
      <c r="A80" s="750"/>
      <c r="B80" s="751"/>
      <c r="C80" s="751"/>
      <c r="D80" s="69" t="s">
        <v>30</v>
      </c>
      <c r="E80" s="73">
        <f t="shared" si="3"/>
        <v>0</v>
      </c>
      <c r="F80" s="123">
        <v>0</v>
      </c>
      <c r="G80" s="124">
        <v>0</v>
      </c>
      <c r="H80" s="305">
        <v>0</v>
      </c>
      <c r="I80" s="305">
        <v>0</v>
      </c>
      <c r="J80" s="305">
        <v>0</v>
      </c>
      <c r="K80" s="125">
        <v>0</v>
      </c>
    </row>
    <row r="81" spans="1:11" outlineLevel="1" x14ac:dyDescent="0.25">
      <c r="A81" s="750"/>
      <c r="B81" s="751"/>
      <c r="C81" s="751"/>
      <c r="D81" s="69" t="s">
        <v>31</v>
      </c>
      <c r="E81" s="73">
        <f t="shared" si="3"/>
        <v>0</v>
      </c>
      <c r="F81" s="123">
        <v>0</v>
      </c>
      <c r="G81" s="124">
        <v>0</v>
      </c>
      <c r="H81" s="305">
        <v>0</v>
      </c>
      <c r="I81" s="305">
        <v>0</v>
      </c>
      <c r="J81" s="305">
        <v>0</v>
      </c>
      <c r="K81" s="125">
        <v>0</v>
      </c>
    </row>
    <row r="82" spans="1:11" outlineLevel="1" x14ac:dyDescent="0.25">
      <c r="A82" s="750"/>
      <c r="B82" s="751"/>
      <c r="C82" s="751"/>
      <c r="D82" s="69" t="s">
        <v>32</v>
      </c>
      <c r="E82" s="73">
        <f t="shared" si="3"/>
        <v>0</v>
      </c>
      <c r="F82" s="123">
        <v>0</v>
      </c>
      <c r="G82" s="124">
        <v>0</v>
      </c>
      <c r="H82" s="305">
        <v>0</v>
      </c>
      <c r="I82" s="305">
        <v>0</v>
      </c>
      <c r="J82" s="305">
        <v>0</v>
      </c>
      <c r="K82" s="125">
        <v>0</v>
      </c>
    </row>
    <row r="83" spans="1:11" outlineLevel="1" x14ac:dyDescent="0.25">
      <c r="A83" s="750"/>
      <c r="B83" s="751"/>
      <c r="C83" s="751"/>
      <c r="D83" s="69" t="s">
        <v>33</v>
      </c>
      <c r="E83" s="73">
        <f t="shared" si="3"/>
        <v>0</v>
      </c>
      <c r="F83" s="123">
        <v>0</v>
      </c>
      <c r="G83" s="124">
        <v>0</v>
      </c>
      <c r="H83" s="305">
        <v>0</v>
      </c>
      <c r="I83" s="305">
        <v>0</v>
      </c>
      <c r="J83" s="305">
        <v>0</v>
      </c>
      <c r="K83" s="125">
        <v>0</v>
      </c>
    </row>
    <row r="84" spans="1:11" ht="15.75" outlineLevel="1" thickBot="1" x14ac:dyDescent="0.3">
      <c r="A84" s="750"/>
      <c r="B84" s="751"/>
      <c r="C84" s="751"/>
      <c r="D84" s="70" t="s">
        <v>34</v>
      </c>
      <c r="E84" s="74">
        <f t="shared" si="3"/>
        <v>0</v>
      </c>
      <c r="F84" s="126">
        <v>0</v>
      </c>
      <c r="G84" s="127">
        <v>0</v>
      </c>
      <c r="H84" s="306">
        <v>0</v>
      </c>
      <c r="I84" s="306">
        <v>0</v>
      </c>
      <c r="J84" s="306">
        <v>0</v>
      </c>
      <c r="K84" s="128"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I50"/>
  <sheetViews>
    <sheetView view="pageBreakPreview" zoomScale="60" zoomScaleNormal="100" workbookViewId="0">
      <selection activeCell="B53" sqref="B53"/>
    </sheetView>
  </sheetViews>
  <sheetFormatPr defaultColWidth="8.7109375" defaultRowHeight="12" x14ac:dyDescent="0.2"/>
  <cols>
    <col min="1" max="1" width="58.85546875" style="147" customWidth="1"/>
    <col min="2" max="2" width="13" style="147" customWidth="1"/>
    <col min="3" max="3" width="3.28515625" style="147" customWidth="1"/>
    <col min="4" max="25" width="3.7109375" style="147" customWidth="1"/>
    <col min="26" max="31" width="8" style="147" customWidth="1"/>
    <col min="32" max="32" width="10" style="147" customWidth="1"/>
    <col min="33" max="33" width="10.7109375" style="148" customWidth="1"/>
    <col min="34" max="35" width="10.7109375" style="147" customWidth="1"/>
    <col min="36" max="16384" width="8.7109375" style="147"/>
  </cols>
  <sheetData>
    <row r="1" spans="1:35" ht="12.75" thickBot="1" x14ac:dyDescent="0.25"/>
    <row r="2" spans="1:35" ht="36.75" customHeight="1" x14ac:dyDescent="0.2">
      <c r="A2" s="293" t="s">
        <v>125</v>
      </c>
      <c r="B2" s="294" t="s">
        <v>1</v>
      </c>
      <c r="C2" s="284" t="s">
        <v>126</v>
      </c>
      <c r="D2" s="285" t="s">
        <v>127</v>
      </c>
      <c r="E2" s="285" t="s">
        <v>128</v>
      </c>
      <c r="F2" s="285" t="s">
        <v>129</v>
      </c>
      <c r="G2" s="285" t="s">
        <v>130</v>
      </c>
      <c r="H2" s="285" t="s">
        <v>131</v>
      </c>
      <c r="I2" s="285" t="s">
        <v>132</v>
      </c>
      <c r="J2" s="285" t="s">
        <v>133</v>
      </c>
      <c r="K2" s="285" t="s">
        <v>134</v>
      </c>
      <c r="L2" s="285" t="s">
        <v>135</v>
      </c>
      <c r="M2" s="285" t="s">
        <v>136</v>
      </c>
      <c r="N2" s="286" t="s">
        <v>137</v>
      </c>
      <c r="O2" s="285" t="s">
        <v>138</v>
      </c>
      <c r="P2" s="285" t="s">
        <v>139</v>
      </c>
      <c r="Q2" s="285" t="s">
        <v>140</v>
      </c>
      <c r="R2" s="285" t="s">
        <v>141</v>
      </c>
      <c r="S2" s="285" t="s">
        <v>142</v>
      </c>
      <c r="T2" s="285" t="s">
        <v>143</v>
      </c>
      <c r="U2" s="285" t="s">
        <v>144</v>
      </c>
      <c r="V2" s="285" t="s">
        <v>145</v>
      </c>
      <c r="W2" s="285" t="s">
        <v>146</v>
      </c>
      <c r="X2" s="285" t="s">
        <v>147</v>
      </c>
      <c r="Y2" s="286" t="s">
        <v>148</v>
      </c>
      <c r="Z2" s="270" t="s">
        <v>149</v>
      </c>
      <c r="AA2" s="271" t="s">
        <v>150</v>
      </c>
      <c r="AB2" s="271" t="s">
        <v>151</v>
      </c>
      <c r="AC2" s="271" t="s">
        <v>152</v>
      </c>
      <c r="AD2" s="271" t="s">
        <v>153</v>
      </c>
      <c r="AE2" s="271" t="s">
        <v>154</v>
      </c>
      <c r="AF2" s="270" t="s">
        <v>155</v>
      </c>
      <c r="AG2" s="263" t="s">
        <v>156</v>
      </c>
      <c r="AH2" s="149"/>
      <c r="AI2" s="149"/>
    </row>
    <row r="3" spans="1:35" ht="14.25" customHeight="1" x14ac:dyDescent="0.2">
      <c r="A3" s="150"/>
      <c r="B3" s="151"/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9"/>
      <c r="Z3" s="272"/>
      <c r="AA3" s="273"/>
      <c r="AB3" s="273"/>
      <c r="AC3" s="273"/>
      <c r="AD3" s="273"/>
      <c r="AE3" s="273"/>
      <c r="AF3" s="272"/>
      <c r="AG3" s="281"/>
      <c r="AH3" s="154"/>
      <c r="AI3" s="154"/>
    </row>
    <row r="4" spans="1:35" x14ac:dyDescent="0.2">
      <c r="A4" s="296" t="s">
        <v>176</v>
      </c>
      <c r="B4" s="155"/>
      <c r="C4" s="327" t="s">
        <v>283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80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80"/>
      <c r="Z4" s="274"/>
      <c r="AA4" s="275"/>
      <c r="AB4" s="275"/>
      <c r="AC4" s="275"/>
      <c r="AD4" s="275"/>
      <c r="AE4" s="275"/>
      <c r="AF4" s="587"/>
      <c r="AG4" s="588"/>
      <c r="AH4" s="156"/>
    </row>
    <row r="5" spans="1:35" ht="12.75" x14ac:dyDescent="0.2">
      <c r="A5" s="297" t="s">
        <v>337</v>
      </c>
      <c r="B5" s="155"/>
      <c r="C5" s="278">
        <v>1</v>
      </c>
      <c r="D5" s="279">
        <v>1</v>
      </c>
      <c r="E5" s="279">
        <v>1</v>
      </c>
      <c r="F5" s="279">
        <v>1</v>
      </c>
      <c r="G5" s="279" t="s">
        <v>169</v>
      </c>
      <c r="H5" s="279"/>
      <c r="I5" s="279"/>
      <c r="J5" s="279"/>
      <c r="K5" s="279"/>
      <c r="L5" s="279"/>
      <c r="M5" s="279"/>
      <c r="N5" s="280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591">
        <f>COUNTA(C5:Y5)*21</f>
        <v>105</v>
      </c>
      <c r="AA5" s="592">
        <f>COUNTA(C5:Y5)*21</f>
        <v>105</v>
      </c>
      <c r="AB5" s="291"/>
      <c r="AC5" s="291">
        <v>3</v>
      </c>
      <c r="AD5" s="291"/>
      <c r="AE5" s="527">
        <v>825</v>
      </c>
      <c r="AF5" s="589">
        <f>Z5*AB5*AD5</f>
        <v>0</v>
      </c>
      <c r="AG5" s="590">
        <f t="shared" ref="AG5:AG46" si="0">AA5*AC5*AE5</f>
        <v>259875</v>
      </c>
      <c r="AH5" s="156"/>
    </row>
    <row r="6" spans="1:35" ht="12.75" x14ac:dyDescent="0.2">
      <c r="A6" s="297" t="s">
        <v>157</v>
      </c>
      <c r="B6" s="155"/>
      <c r="C6" s="278"/>
      <c r="D6" s="279"/>
      <c r="E6" s="279"/>
      <c r="F6" s="279"/>
      <c r="G6" s="279">
        <v>1</v>
      </c>
      <c r="H6" s="279">
        <v>1</v>
      </c>
      <c r="I6" s="279">
        <v>1</v>
      </c>
      <c r="J6" s="279">
        <v>1</v>
      </c>
      <c r="K6" s="279">
        <v>1</v>
      </c>
      <c r="L6" s="279">
        <v>1</v>
      </c>
      <c r="M6" s="279"/>
      <c r="N6" s="280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591">
        <f>COUNTA(C6:Y6)*21</f>
        <v>126</v>
      </c>
      <c r="AA6" s="592">
        <f t="shared" ref="AA6:AA46" si="1">COUNTA(C6:Y6)*21</f>
        <v>126</v>
      </c>
      <c r="AB6" s="291"/>
      <c r="AC6" s="291">
        <v>3</v>
      </c>
      <c r="AD6" s="291"/>
      <c r="AE6" s="527">
        <v>714</v>
      </c>
      <c r="AF6" s="589">
        <f t="shared" ref="AF6:AF46" si="2">Z6*AB6*AD6</f>
        <v>0</v>
      </c>
      <c r="AG6" s="590">
        <f t="shared" si="0"/>
        <v>269892</v>
      </c>
      <c r="AH6" s="156"/>
    </row>
    <row r="7" spans="1:35" ht="12.75" x14ac:dyDescent="0.2">
      <c r="A7" s="297" t="s">
        <v>158</v>
      </c>
      <c r="B7" s="155"/>
      <c r="C7" s="278"/>
      <c r="D7" s="279"/>
      <c r="E7" s="279"/>
      <c r="F7" s="279"/>
      <c r="G7" s="279"/>
      <c r="H7" s="279"/>
      <c r="I7" s="279"/>
      <c r="J7" s="279"/>
      <c r="K7" s="279">
        <v>1</v>
      </c>
      <c r="L7" s="279">
        <v>1</v>
      </c>
      <c r="M7" s="279">
        <v>1</v>
      </c>
      <c r="N7" s="280">
        <v>1</v>
      </c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591">
        <f>COUNTA(C7:Y7)*21</f>
        <v>84</v>
      </c>
      <c r="AA7" s="592">
        <f t="shared" si="1"/>
        <v>84</v>
      </c>
      <c r="AB7" s="291"/>
      <c r="AC7" s="291">
        <v>2</v>
      </c>
      <c r="AD7" s="291"/>
      <c r="AE7" s="527">
        <v>650</v>
      </c>
      <c r="AF7" s="589">
        <f t="shared" si="2"/>
        <v>0</v>
      </c>
      <c r="AG7" s="590">
        <f t="shared" si="0"/>
        <v>109200</v>
      </c>
      <c r="AH7" s="156"/>
    </row>
    <row r="8" spans="1:35" ht="13.35" customHeight="1" x14ac:dyDescent="0.2">
      <c r="A8" s="297" t="s">
        <v>159</v>
      </c>
      <c r="B8" s="155"/>
      <c r="C8" s="278"/>
      <c r="D8" s="279"/>
      <c r="E8" s="279"/>
      <c r="F8" s="279"/>
      <c r="G8" s="279"/>
      <c r="H8" s="279"/>
      <c r="I8" s="279"/>
      <c r="J8" s="279"/>
      <c r="K8" s="279"/>
      <c r="L8" s="279"/>
      <c r="M8" s="279">
        <v>1</v>
      </c>
      <c r="N8" s="280">
        <v>1</v>
      </c>
      <c r="O8" s="279">
        <v>1</v>
      </c>
      <c r="P8" s="279">
        <v>1</v>
      </c>
      <c r="Q8" s="279">
        <v>1</v>
      </c>
      <c r="R8" s="279">
        <v>1</v>
      </c>
      <c r="S8" s="279">
        <v>1</v>
      </c>
      <c r="T8" s="279">
        <v>1</v>
      </c>
      <c r="U8" s="279">
        <v>1</v>
      </c>
      <c r="V8" s="279">
        <v>1</v>
      </c>
      <c r="W8" s="279">
        <v>1</v>
      </c>
      <c r="X8" s="279"/>
      <c r="Y8" s="279"/>
      <c r="Z8" s="591">
        <f>COUNTA(C8:Y8)*21</f>
        <v>231</v>
      </c>
      <c r="AA8" s="592">
        <f t="shared" si="1"/>
        <v>231</v>
      </c>
      <c r="AB8" s="291"/>
      <c r="AC8" s="291">
        <v>0.5</v>
      </c>
      <c r="AD8" s="291"/>
      <c r="AE8" s="527">
        <v>650</v>
      </c>
      <c r="AF8" s="589">
        <f t="shared" si="2"/>
        <v>0</v>
      </c>
      <c r="AG8" s="590">
        <f t="shared" si="0"/>
        <v>75075</v>
      </c>
      <c r="AH8" s="156"/>
    </row>
    <row r="9" spans="1:35" x14ac:dyDescent="0.2">
      <c r="A9" s="296" t="s">
        <v>170</v>
      </c>
      <c r="B9" s="155"/>
      <c r="C9" s="278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80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529"/>
      <c r="AA9" s="530"/>
      <c r="AB9" s="276"/>
      <c r="AC9" s="276"/>
      <c r="AD9" s="276"/>
      <c r="AE9" s="528"/>
      <c r="AF9" s="589"/>
      <c r="AG9" s="590"/>
      <c r="AH9" s="156"/>
    </row>
    <row r="10" spans="1:35" ht="12.75" x14ac:dyDescent="0.2">
      <c r="A10" s="297"/>
      <c r="B10" s="155"/>
      <c r="C10" s="278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80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591">
        <f>COUNTA(C10:Y10)*21</f>
        <v>0</v>
      </c>
      <c r="AA10" s="592">
        <f t="shared" si="1"/>
        <v>0</v>
      </c>
      <c r="AB10" s="291"/>
      <c r="AC10" s="291"/>
      <c r="AD10" s="291"/>
      <c r="AE10" s="527"/>
      <c r="AF10" s="589">
        <f t="shared" si="2"/>
        <v>0</v>
      </c>
      <c r="AG10" s="590">
        <f t="shared" si="0"/>
        <v>0</v>
      </c>
      <c r="AH10" s="156"/>
    </row>
    <row r="11" spans="1:35" ht="12.75" x14ac:dyDescent="0.2">
      <c r="A11" s="297"/>
      <c r="B11" s="155"/>
      <c r="C11" s="278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80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591">
        <f>COUNTA(C11:Y11)*21</f>
        <v>0</v>
      </c>
      <c r="AA11" s="592">
        <f t="shared" si="1"/>
        <v>0</v>
      </c>
      <c r="AB11" s="291"/>
      <c r="AC11" s="291"/>
      <c r="AD11" s="291"/>
      <c r="AE11" s="527"/>
      <c r="AF11" s="589">
        <f t="shared" si="2"/>
        <v>0</v>
      </c>
      <c r="AG11" s="590">
        <f t="shared" si="0"/>
        <v>0</v>
      </c>
      <c r="AH11" s="156"/>
    </row>
    <row r="12" spans="1:35" ht="12.75" x14ac:dyDescent="0.2">
      <c r="A12" s="297"/>
      <c r="B12" s="155"/>
      <c r="C12" s="278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80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591">
        <f>COUNTA(C12:Y12)*21</f>
        <v>0</v>
      </c>
      <c r="AA12" s="592">
        <f t="shared" si="1"/>
        <v>0</v>
      </c>
      <c r="AB12" s="291"/>
      <c r="AC12" s="291"/>
      <c r="AD12" s="291"/>
      <c r="AE12" s="527"/>
      <c r="AF12" s="589">
        <f t="shared" si="2"/>
        <v>0</v>
      </c>
      <c r="AG12" s="590">
        <f t="shared" si="0"/>
        <v>0</v>
      </c>
      <c r="AH12" s="156"/>
    </row>
    <row r="13" spans="1:35" ht="12.75" x14ac:dyDescent="0.2">
      <c r="A13" s="297"/>
      <c r="B13" s="155"/>
      <c r="C13" s="278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80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591">
        <f>COUNTA(C13:Y13)*21</f>
        <v>0</v>
      </c>
      <c r="AA13" s="592">
        <f t="shared" si="1"/>
        <v>0</v>
      </c>
      <c r="AB13" s="291"/>
      <c r="AC13" s="291"/>
      <c r="AD13" s="291"/>
      <c r="AE13" s="527"/>
      <c r="AF13" s="589">
        <f t="shared" si="2"/>
        <v>0</v>
      </c>
      <c r="AG13" s="590">
        <f t="shared" si="0"/>
        <v>0</v>
      </c>
      <c r="AH13" s="156"/>
    </row>
    <row r="14" spans="1:35" ht="12.75" x14ac:dyDescent="0.2">
      <c r="A14" s="297"/>
      <c r="B14" s="155"/>
      <c r="C14" s="278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80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591">
        <f>COUNTA(C14:Y14)*21</f>
        <v>0</v>
      </c>
      <c r="AA14" s="592">
        <f t="shared" si="1"/>
        <v>0</v>
      </c>
      <c r="AB14" s="291"/>
      <c r="AC14" s="291"/>
      <c r="AD14" s="291"/>
      <c r="AE14" s="527"/>
      <c r="AF14" s="589">
        <f t="shared" si="2"/>
        <v>0</v>
      </c>
      <c r="AG14" s="590">
        <f t="shared" si="0"/>
        <v>0</v>
      </c>
      <c r="AH14" s="156"/>
    </row>
    <row r="15" spans="1:35" x14ac:dyDescent="0.2">
      <c r="A15" s="296" t="s">
        <v>171</v>
      </c>
      <c r="B15" s="155"/>
      <c r="C15" s="278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80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529"/>
      <c r="AA15" s="530"/>
      <c r="AB15" s="276"/>
      <c r="AC15" s="276"/>
      <c r="AD15" s="276"/>
      <c r="AE15" s="528"/>
      <c r="AF15" s="589"/>
      <c r="AG15" s="590"/>
      <c r="AH15" s="156"/>
    </row>
    <row r="16" spans="1:35" ht="12.75" x14ac:dyDescent="0.2">
      <c r="A16" s="297"/>
      <c r="B16" s="155"/>
      <c r="C16" s="278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80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591">
        <f>COUNTA(C16:Y16)*21</f>
        <v>0</v>
      </c>
      <c r="AA16" s="592">
        <f t="shared" si="1"/>
        <v>0</v>
      </c>
      <c r="AB16" s="291"/>
      <c r="AC16" s="291"/>
      <c r="AD16" s="291"/>
      <c r="AE16" s="527"/>
      <c r="AF16" s="589">
        <f t="shared" si="2"/>
        <v>0</v>
      </c>
      <c r="AG16" s="590">
        <f t="shared" si="0"/>
        <v>0</v>
      </c>
      <c r="AH16" s="156"/>
    </row>
    <row r="17" spans="1:34" ht="12.75" x14ac:dyDescent="0.2">
      <c r="A17" s="297"/>
      <c r="B17" s="155"/>
      <c r="C17" s="278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80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591">
        <f>COUNTA(C17:Y17)*21</f>
        <v>0</v>
      </c>
      <c r="AA17" s="592">
        <f t="shared" si="1"/>
        <v>0</v>
      </c>
      <c r="AB17" s="291"/>
      <c r="AC17" s="291"/>
      <c r="AD17" s="291"/>
      <c r="AE17" s="527"/>
      <c r="AF17" s="589">
        <f t="shared" si="2"/>
        <v>0</v>
      </c>
      <c r="AG17" s="590">
        <f t="shared" si="0"/>
        <v>0</v>
      </c>
      <c r="AH17" s="156"/>
    </row>
    <row r="18" spans="1:34" ht="12.75" x14ac:dyDescent="0.2">
      <c r="A18" s="297"/>
      <c r="B18" s="155"/>
      <c r="C18" s="278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80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591">
        <f>COUNTA(C18:Y18)*21</f>
        <v>0</v>
      </c>
      <c r="AA18" s="592">
        <f t="shared" si="1"/>
        <v>0</v>
      </c>
      <c r="AB18" s="291"/>
      <c r="AC18" s="291"/>
      <c r="AD18" s="291"/>
      <c r="AE18" s="527"/>
      <c r="AF18" s="589">
        <f t="shared" si="2"/>
        <v>0</v>
      </c>
      <c r="AG18" s="590">
        <f t="shared" si="0"/>
        <v>0</v>
      </c>
      <c r="AH18" s="156"/>
    </row>
    <row r="19" spans="1:34" ht="12.75" x14ac:dyDescent="0.2">
      <c r="A19" s="295"/>
      <c r="B19" s="155"/>
      <c r="C19" s="278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80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591">
        <f>COUNTA(C19:Y19)*21</f>
        <v>0</v>
      </c>
      <c r="AA19" s="592">
        <f t="shared" si="1"/>
        <v>0</v>
      </c>
      <c r="AB19" s="291"/>
      <c r="AC19" s="291"/>
      <c r="AD19" s="291"/>
      <c r="AE19" s="527"/>
      <c r="AF19" s="589">
        <f t="shared" si="2"/>
        <v>0</v>
      </c>
      <c r="AG19" s="590">
        <f t="shared" si="0"/>
        <v>0</v>
      </c>
      <c r="AH19" s="156"/>
    </row>
    <row r="20" spans="1:34" ht="12.75" x14ac:dyDescent="0.2">
      <c r="A20" s="295"/>
      <c r="B20" s="155"/>
      <c r="C20" s="278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80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591">
        <f>COUNTA(C20:Y20)*21</f>
        <v>0</v>
      </c>
      <c r="AA20" s="592">
        <f t="shared" si="1"/>
        <v>0</v>
      </c>
      <c r="AB20" s="291"/>
      <c r="AC20" s="291"/>
      <c r="AD20" s="291"/>
      <c r="AE20" s="527"/>
      <c r="AF20" s="589">
        <f t="shared" si="2"/>
        <v>0</v>
      </c>
      <c r="AG20" s="590">
        <f t="shared" si="0"/>
        <v>0</v>
      </c>
      <c r="AH20" s="156"/>
    </row>
    <row r="21" spans="1:34" x14ac:dyDescent="0.2">
      <c r="A21" s="296" t="s">
        <v>172</v>
      </c>
      <c r="B21" s="155"/>
      <c r="C21" s="278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80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529"/>
      <c r="AA21" s="530"/>
      <c r="AB21" s="276"/>
      <c r="AC21" s="276"/>
      <c r="AD21" s="276"/>
      <c r="AE21" s="528"/>
      <c r="AF21" s="589"/>
      <c r="AG21" s="590"/>
      <c r="AH21" s="156"/>
    </row>
    <row r="22" spans="1:34" ht="12.75" x14ac:dyDescent="0.2">
      <c r="A22" s="297"/>
      <c r="B22" s="155"/>
      <c r="C22" s="278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80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591">
        <f>COUNTA(C22:Y22)*21</f>
        <v>0</v>
      </c>
      <c r="AA22" s="592">
        <f t="shared" si="1"/>
        <v>0</v>
      </c>
      <c r="AB22" s="291"/>
      <c r="AC22" s="291"/>
      <c r="AD22" s="291"/>
      <c r="AE22" s="527"/>
      <c r="AF22" s="589">
        <f t="shared" si="2"/>
        <v>0</v>
      </c>
      <c r="AG22" s="590">
        <f t="shared" si="0"/>
        <v>0</v>
      </c>
      <c r="AH22" s="156"/>
    </row>
    <row r="23" spans="1:34" ht="12.75" x14ac:dyDescent="0.2">
      <c r="A23" s="297"/>
      <c r="B23" s="155"/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80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591">
        <f>COUNTA(C23:Y23)*21</f>
        <v>0</v>
      </c>
      <c r="AA23" s="592">
        <f t="shared" si="1"/>
        <v>0</v>
      </c>
      <c r="AB23" s="291"/>
      <c r="AC23" s="291"/>
      <c r="AD23" s="291"/>
      <c r="AE23" s="527"/>
      <c r="AF23" s="589">
        <f t="shared" si="2"/>
        <v>0</v>
      </c>
      <c r="AG23" s="590">
        <f t="shared" si="0"/>
        <v>0</v>
      </c>
      <c r="AH23" s="156"/>
    </row>
    <row r="24" spans="1:34" ht="12.75" x14ac:dyDescent="0.2">
      <c r="A24" s="297"/>
      <c r="B24" s="155"/>
      <c r="C24" s="278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80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591">
        <f>COUNTA(C24:Y24)*21</f>
        <v>0</v>
      </c>
      <c r="AA24" s="592">
        <f t="shared" si="1"/>
        <v>0</v>
      </c>
      <c r="AB24" s="291"/>
      <c r="AC24" s="291"/>
      <c r="AD24" s="291"/>
      <c r="AE24" s="527"/>
      <c r="AF24" s="589">
        <f t="shared" si="2"/>
        <v>0</v>
      </c>
      <c r="AG24" s="590">
        <f t="shared" si="0"/>
        <v>0</v>
      </c>
      <c r="AH24" s="156"/>
    </row>
    <row r="25" spans="1:34" ht="12.75" x14ac:dyDescent="0.2">
      <c r="A25" s="297"/>
      <c r="B25" s="155"/>
      <c r="C25" s="278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80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591">
        <f>COUNTA(C25:Y25)*21</f>
        <v>0</v>
      </c>
      <c r="AA25" s="592">
        <f t="shared" si="1"/>
        <v>0</v>
      </c>
      <c r="AB25" s="291"/>
      <c r="AC25" s="291"/>
      <c r="AD25" s="291"/>
      <c r="AE25" s="527"/>
      <c r="AF25" s="589">
        <f t="shared" si="2"/>
        <v>0</v>
      </c>
      <c r="AG25" s="590">
        <f t="shared" si="0"/>
        <v>0</v>
      </c>
      <c r="AH25" s="156"/>
    </row>
    <row r="26" spans="1:34" ht="12.75" x14ac:dyDescent="0.2">
      <c r="A26" s="297"/>
      <c r="B26" s="155"/>
      <c r="C26" s="278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80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591">
        <f>COUNTA(C26:Y26)*21</f>
        <v>0</v>
      </c>
      <c r="AA26" s="592">
        <f t="shared" si="1"/>
        <v>0</v>
      </c>
      <c r="AB26" s="291"/>
      <c r="AC26" s="291"/>
      <c r="AD26" s="291"/>
      <c r="AE26" s="527"/>
      <c r="AF26" s="589">
        <f t="shared" si="2"/>
        <v>0</v>
      </c>
      <c r="AG26" s="590">
        <f t="shared" si="0"/>
        <v>0</v>
      </c>
      <c r="AH26" s="156"/>
    </row>
    <row r="27" spans="1:34" x14ac:dyDescent="0.2">
      <c r="A27" s="296" t="s">
        <v>173</v>
      </c>
      <c r="B27" s="155"/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80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529"/>
      <c r="AA27" s="530"/>
      <c r="AB27" s="276"/>
      <c r="AC27" s="276"/>
      <c r="AD27" s="276"/>
      <c r="AE27" s="528"/>
      <c r="AF27" s="589"/>
      <c r="AG27" s="590"/>
      <c r="AH27" s="156"/>
    </row>
    <row r="28" spans="1:34" ht="12.75" x14ac:dyDescent="0.2">
      <c r="A28" s="297"/>
      <c r="B28" s="155"/>
      <c r="C28" s="278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80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591">
        <f>COUNTA(C28:Y28)*21</f>
        <v>0</v>
      </c>
      <c r="AA28" s="592">
        <f t="shared" si="1"/>
        <v>0</v>
      </c>
      <c r="AB28" s="291"/>
      <c r="AC28" s="291"/>
      <c r="AD28" s="291"/>
      <c r="AE28" s="527"/>
      <c r="AF28" s="589">
        <f t="shared" si="2"/>
        <v>0</v>
      </c>
      <c r="AG28" s="590">
        <f t="shared" si="0"/>
        <v>0</v>
      </c>
      <c r="AH28" s="156"/>
    </row>
    <row r="29" spans="1:34" ht="12.75" x14ac:dyDescent="0.2">
      <c r="A29" s="297"/>
      <c r="B29" s="155"/>
      <c r="C29" s="278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80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591">
        <f>COUNTA(C29:Y29)*21</f>
        <v>0</v>
      </c>
      <c r="AA29" s="592">
        <f t="shared" si="1"/>
        <v>0</v>
      </c>
      <c r="AB29" s="291"/>
      <c r="AC29" s="291"/>
      <c r="AD29" s="291"/>
      <c r="AE29" s="527"/>
      <c r="AF29" s="589">
        <f t="shared" si="2"/>
        <v>0</v>
      </c>
      <c r="AG29" s="590">
        <f t="shared" si="0"/>
        <v>0</v>
      </c>
      <c r="AH29" s="156"/>
    </row>
    <row r="30" spans="1:34" ht="12.75" x14ac:dyDescent="0.2">
      <c r="A30" s="297"/>
      <c r="B30" s="155"/>
      <c r="C30" s="278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80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591">
        <f>COUNTA(C30:Y30)*21</f>
        <v>0</v>
      </c>
      <c r="AA30" s="592">
        <f t="shared" si="1"/>
        <v>0</v>
      </c>
      <c r="AB30" s="291"/>
      <c r="AC30" s="291"/>
      <c r="AD30" s="291"/>
      <c r="AE30" s="527"/>
      <c r="AF30" s="589">
        <f t="shared" si="2"/>
        <v>0</v>
      </c>
      <c r="AG30" s="590">
        <f t="shared" si="0"/>
        <v>0</v>
      </c>
      <c r="AH30" s="156"/>
    </row>
    <row r="31" spans="1:34" ht="12.75" x14ac:dyDescent="0.2">
      <c r="A31" s="297"/>
      <c r="B31" s="155"/>
      <c r="C31" s="278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80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591">
        <f>COUNTA(C31:Y31)*21</f>
        <v>0</v>
      </c>
      <c r="AA31" s="592">
        <f t="shared" si="1"/>
        <v>0</v>
      </c>
      <c r="AB31" s="291"/>
      <c r="AC31" s="291"/>
      <c r="AD31" s="291"/>
      <c r="AE31" s="527"/>
      <c r="AF31" s="589">
        <f t="shared" si="2"/>
        <v>0</v>
      </c>
      <c r="AG31" s="590">
        <f t="shared" si="0"/>
        <v>0</v>
      </c>
      <c r="AH31" s="156"/>
    </row>
    <row r="32" spans="1:34" ht="12.75" x14ac:dyDescent="0.2">
      <c r="A32" s="297"/>
      <c r="B32" s="155"/>
      <c r="C32" s="278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80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591">
        <f>COUNTA(C32:Y32)*21</f>
        <v>0</v>
      </c>
      <c r="AA32" s="592">
        <f t="shared" si="1"/>
        <v>0</v>
      </c>
      <c r="AB32" s="291"/>
      <c r="AC32" s="291"/>
      <c r="AD32" s="291"/>
      <c r="AE32" s="527"/>
      <c r="AF32" s="589">
        <f t="shared" si="2"/>
        <v>0</v>
      </c>
      <c r="AG32" s="590">
        <f t="shared" si="0"/>
        <v>0</v>
      </c>
      <c r="AH32" s="156"/>
    </row>
    <row r="33" spans="1:35" x14ac:dyDescent="0.2">
      <c r="A33" s="296" t="s">
        <v>174</v>
      </c>
      <c r="B33" s="155"/>
      <c r="C33" s="278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80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529"/>
      <c r="AA33" s="530"/>
      <c r="AB33" s="276"/>
      <c r="AC33" s="276"/>
      <c r="AD33" s="276"/>
      <c r="AE33" s="528"/>
      <c r="AF33" s="589"/>
      <c r="AG33" s="590"/>
      <c r="AH33" s="156"/>
    </row>
    <row r="34" spans="1:35" ht="12.75" x14ac:dyDescent="0.2">
      <c r="A34" s="297"/>
      <c r="B34" s="155"/>
      <c r="C34" s="278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80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591">
        <f>COUNTA(C34:Y34)*21</f>
        <v>0</v>
      </c>
      <c r="AA34" s="592">
        <f t="shared" si="1"/>
        <v>0</v>
      </c>
      <c r="AB34" s="291"/>
      <c r="AC34" s="291"/>
      <c r="AD34" s="291"/>
      <c r="AE34" s="527"/>
      <c r="AF34" s="589">
        <f t="shared" si="2"/>
        <v>0</v>
      </c>
      <c r="AG34" s="590">
        <f t="shared" si="0"/>
        <v>0</v>
      </c>
      <c r="AH34" s="156"/>
    </row>
    <row r="35" spans="1:35" ht="12.75" x14ac:dyDescent="0.2">
      <c r="A35" s="297"/>
      <c r="B35" s="155"/>
      <c r="C35" s="278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80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591">
        <f>COUNTA(C35:Y35)*21</f>
        <v>0</v>
      </c>
      <c r="AA35" s="592">
        <f t="shared" si="1"/>
        <v>0</v>
      </c>
      <c r="AB35" s="291"/>
      <c r="AC35" s="291"/>
      <c r="AD35" s="291"/>
      <c r="AE35" s="527"/>
      <c r="AF35" s="589">
        <f t="shared" si="2"/>
        <v>0</v>
      </c>
      <c r="AG35" s="590">
        <f t="shared" si="0"/>
        <v>0</v>
      </c>
      <c r="AH35" s="156"/>
    </row>
    <row r="36" spans="1:35" ht="12.75" x14ac:dyDescent="0.2">
      <c r="A36" s="297"/>
      <c r="B36" s="155"/>
      <c r="C36" s="278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80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591">
        <f>COUNTA(C36:Y36)*21</f>
        <v>0</v>
      </c>
      <c r="AA36" s="592">
        <f t="shared" si="1"/>
        <v>0</v>
      </c>
      <c r="AB36" s="291"/>
      <c r="AC36" s="291"/>
      <c r="AD36" s="291"/>
      <c r="AE36" s="527"/>
      <c r="AF36" s="589">
        <f t="shared" si="2"/>
        <v>0</v>
      </c>
      <c r="AG36" s="590">
        <f t="shared" si="0"/>
        <v>0</v>
      </c>
      <c r="AH36" s="156"/>
    </row>
    <row r="37" spans="1:35" ht="12.75" x14ac:dyDescent="0.2">
      <c r="A37" s="297"/>
      <c r="B37" s="155"/>
      <c r="C37" s="278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80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591">
        <f>COUNTA(C37:Y37)*21</f>
        <v>0</v>
      </c>
      <c r="AA37" s="592">
        <f t="shared" si="1"/>
        <v>0</v>
      </c>
      <c r="AB37" s="291"/>
      <c r="AC37" s="291"/>
      <c r="AD37" s="291"/>
      <c r="AE37" s="527"/>
      <c r="AF37" s="589">
        <f t="shared" si="2"/>
        <v>0</v>
      </c>
      <c r="AG37" s="590">
        <f t="shared" si="0"/>
        <v>0</v>
      </c>
      <c r="AH37" s="156"/>
    </row>
    <row r="38" spans="1:35" ht="12.75" x14ac:dyDescent="0.2">
      <c r="A38" s="297"/>
      <c r="B38" s="155"/>
      <c r="C38" s="278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80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591">
        <f>COUNTA(C38:Y38)*21</f>
        <v>0</v>
      </c>
      <c r="AA38" s="592">
        <f t="shared" si="1"/>
        <v>0</v>
      </c>
      <c r="AB38" s="291"/>
      <c r="AC38" s="291"/>
      <c r="AD38" s="291"/>
      <c r="AE38" s="527"/>
      <c r="AF38" s="589">
        <f t="shared" si="2"/>
        <v>0</v>
      </c>
      <c r="AG38" s="590">
        <f t="shared" si="0"/>
        <v>0</v>
      </c>
      <c r="AH38" s="156"/>
    </row>
    <row r="39" spans="1:35" x14ac:dyDescent="0.2">
      <c r="A39" s="296" t="s">
        <v>175</v>
      </c>
      <c r="B39" s="155"/>
      <c r="C39" s="278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80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529"/>
      <c r="AA39" s="530"/>
      <c r="AB39" s="276"/>
      <c r="AC39" s="276"/>
      <c r="AD39" s="276"/>
      <c r="AE39" s="528"/>
      <c r="AF39" s="589"/>
      <c r="AG39" s="590"/>
      <c r="AH39" s="156"/>
    </row>
    <row r="40" spans="1:35" ht="12.75" x14ac:dyDescent="0.2">
      <c r="A40" s="297"/>
      <c r="B40" s="155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80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591">
        <f>COUNTA(C40:Y40)*21</f>
        <v>0</v>
      </c>
      <c r="AA40" s="592">
        <f t="shared" si="1"/>
        <v>0</v>
      </c>
      <c r="AB40" s="291"/>
      <c r="AC40" s="291"/>
      <c r="AD40" s="291"/>
      <c r="AE40" s="527"/>
      <c r="AF40" s="589">
        <f t="shared" si="2"/>
        <v>0</v>
      </c>
      <c r="AG40" s="590">
        <f t="shared" si="0"/>
        <v>0</v>
      </c>
      <c r="AH40" s="156"/>
    </row>
    <row r="41" spans="1:35" ht="12.75" x14ac:dyDescent="0.2">
      <c r="A41" s="297"/>
      <c r="B41" s="155"/>
      <c r="C41" s="27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80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591">
        <f>COUNTA(C41:Y41)*21</f>
        <v>0</v>
      </c>
      <c r="AA41" s="592">
        <f t="shared" si="1"/>
        <v>0</v>
      </c>
      <c r="AB41" s="291"/>
      <c r="AC41" s="291"/>
      <c r="AD41" s="291"/>
      <c r="AE41" s="527"/>
      <c r="AF41" s="589">
        <f t="shared" si="2"/>
        <v>0</v>
      </c>
      <c r="AG41" s="590">
        <f t="shared" si="0"/>
        <v>0</v>
      </c>
      <c r="AH41" s="156"/>
    </row>
    <row r="42" spans="1:35" ht="12.75" x14ac:dyDescent="0.2">
      <c r="A42" s="297"/>
      <c r="B42" s="155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80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591">
        <f>COUNTA(C42:Y42)*21</f>
        <v>0</v>
      </c>
      <c r="AA42" s="592">
        <f t="shared" si="1"/>
        <v>0</v>
      </c>
      <c r="AB42" s="291"/>
      <c r="AC42" s="291"/>
      <c r="AD42" s="291"/>
      <c r="AE42" s="527"/>
      <c r="AF42" s="589">
        <f t="shared" si="2"/>
        <v>0</v>
      </c>
      <c r="AG42" s="590">
        <f t="shared" si="0"/>
        <v>0</v>
      </c>
      <c r="AH42" s="156"/>
    </row>
    <row r="43" spans="1:35" ht="12.75" x14ac:dyDescent="0.2">
      <c r="A43" s="297"/>
      <c r="B43" s="155"/>
      <c r="C43" s="278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80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591">
        <f>COUNTA(C43:Y43)*21</f>
        <v>0</v>
      </c>
      <c r="AA43" s="592">
        <f t="shared" si="1"/>
        <v>0</v>
      </c>
      <c r="AB43" s="291"/>
      <c r="AC43" s="291"/>
      <c r="AD43" s="291"/>
      <c r="AE43" s="527"/>
      <c r="AF43" s="589">
        <f t="shared" si="2"/>
        <v>0</v>
      </c>
      <c r="AG43" s="590">
        <f t="shared" si="0"/>
        <v>0</v>
      </c>
      <c r="AH43" s="156"/>
    </row>
    <row r="44" spans="1:35" ht="12.75" x14ac:dyDescent="0.2">
      <c r="A44" s="297"/>
      <c r="B44" s="155"/>
      <c r="C44" s="278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80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591">
        <f>COUNTA(C44:Y44)*21</f>
        <v>0</v>
      </c>
      <c r="AA44" s="592">
        <f t="shared" si="1"/>
        <v>0</v>
      </c>
      <c r="AB44" s="291"/>
      <c r="AC44" s="291"/>
      <c r="AD44" s="291"/>
      <c r="AE44" s="527"/>
      <c r="AF44" s="589">
        <f t="shared" si="2"/>
        <v>0</v>
      </c>
      <c r="AG44" s="590">
        <f t="shared" si="0"/>
        <v>0</v>
      </c>
      <c r="AH44" s="156"/>
      <c r="AI44" s="156"/>
    </row>
    <row r="45" spans="1:35" x14ac:dyDescent="0.2">
      <c r="A45" s="296" t="s">
        <v>160</v>
      </c>
      <c r="B45" s="155"/>
      <c r="C45" s="278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80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529"/>
      <c r="AA45" s="530"/>
      <c r="AB45" s="276"/>
      <c r="AC45" s="276"/>
      <c r="AD45" s="276"/>
      <c r="AE45" s="528"/>
      <c r="AF45" s="589"/>
      <c r="AG45" s="590"/>
      <c r="AH45" s="156"/>
      <c r="AI45" s="156"/>
    </row>
    <row r="46" spans="1:35" ht="13.5" thickBot="1" x14ac:dyDescent="0.25">
      <c r="A46" s="297" t="s">
        <v>161</v>
      </c>
      <c r="B46" s="155"/>
      <c r="C46" s="278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80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591">
        <f>COUNTA(C46:Y46)*21</f>
        <v>0</v>
      </c>
      <c r="AA46" s="592">
        <f t="shared" si="1"/>
        <v>0</v>
      </c>
      <c r="AB46" s="291"/>
      <c r="AC46" s="291"/>
      <c r="AD46" s="291"/>
      <c r="AE46" s="527"/>
      <c r="AF46" s="589">
        <f t="shared" si="2"/>
        <v>0</v>
      </c>
      <c r="AG46" s="590">
        <f t="shared" si="0"/>
        <v>0</v>
      </c>
      <c r="AH46" s="156"/>
      <c r="AI46" s="156"/>
    </row>
    <row r="47" spans="1:35" ht="12.75" thickBot="1" x14ac:dyDescent="0.25">
      <c r="A47" s="298" t="s">
        <v>164</v>
      </c>
      <c r="B47" s="157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77"/>
      <c r="AA47" s="277"/>
      <c r="AB47" s="277"/>
      <c r="AC47" s="277"/>
      <c r="AD47" s="277"/>
      <c r="AE47" s="277"/>
      <c r="AF47" s="585">
        <f>SUM(AF4:AF46)</f>
        <v>0</v>
      </c>
      <c r="AG47" s="586">
        <f>SUM(AG4:AG46)</f>
        <v>714042</v>
      </c>
      <c r="AH47" s="158"/>
      <c r="AI47" s="158"/>
    </row>
    <row r="48" spans="1:35" x14ac:dyDescent="0.2">
      <c r="AH48" s="159"/>
      <c r="AI48" s="159"/>
    </row>
    <row r="50" spans="33:33" ht="15.75" x14ac:dyDescent="0.25">
      <c r="AG50" s="160"/>
    </row>
  </sheetData>
  <conditionalFormatting sqref="C4:Y46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F28"/>
  <sheetViews>
    <sheetView view="pageBreakPreview" zoomScale="60" zoomScaleNormal="100" workbookViewId="0"/>
  </sheetViews>
  <sheetFormatPr defaultColWidth="8.85546875" defaultRowHeight="15" x14ac:dyDescent="0.25"/>
  <cols>
    <col min="1" max="1" width="51.42578125" customWidth="1"/>
    <col min="2" max="2" width="13.42578125" bestFit="1" customWidth="1"/>
    <col min="4" max="4" width="18.28515625" bestFit="1" customWidth="1"/>
    <col min="5" max="5" width="16" bestFit="1" customWidth="1"/>
    <col min="6" max="6" width="48.85546875" customWidth="1"/>
  </cols>
  <sheetData>
    <row r="1" spans="1:6" ht="15.75" thickBot="1" x14ac:dyDescent="0.3"/>
    <row r="2" spans="1:6" ht="15.75" thickBot="1" x14ac:dyDescent="0.3">
      <c r="A2" s="560" t="s">
        <v>349</v>
      </c>
      <c r="B2" s="560" t="s">
        <v>350</v>
      </c>
      <c r="C2" s="560" t="s">
        <v>351</v>
      </c>
      <c r="D2" s="564" t="s">
        <v>352</v>
      </c>
      <c r="E2" s="564" t="s">
        <v>353</v>
      </c>
      <c r="F2" s="560" t="s">
        <v>354</v>
      </c>
    </row>
    <row r="3" spans="1:6" x14ac:dyDescent="0.25">
      <c r="A3" s="558" t="s">
        <v>355</v>
      </c>
      <c r="B3" s="561" t="s">
        <v>356</v>
      </c>
      <c r="C3" s="561">
        <v>3</v>
      </c>
      <c r="D3" s="565">
        <v>2500</v>
      </c>
      <c r="E3" s="563">
        <f>D3*C3</f>
        <v>7500</v>
      </c>
      <c r="F3" s="559"/>
    </row>
    <row r="4" spans="1:6" x14ac:dyDescent="0.25">
      <c r="A4" s="297" t="s">
        <v>357</v>
      </c>
      <c r="B4" s="562" t="s">
        <v>356</v>
      </c>
      <c r="C4" s="562">
        <v>5</v>
      </c>
      <c r="D4" s="566">
        <v>4000</v>
      </c>
      <c r="E4" s="563">
        <f t="shared" ref="E4:E28" si="0">D4*C4</f>
        <v>20000</v>
      </c>
      <c r="F4" s="557"/>
    </row>
    <row r="5" spans="1:6" x14ac:dyDescent="0.25">
      <c r="A5" s="297"/>
      <c r="B5" s="562"/>
      <c r="C5" s="562"/>
      <c r="D5" s="566"/>
      <c r="E5" s="563">
        <f t="shared" si="0"/>
        <v>0</v>
      </c>
      <c r="F5" s="557"/>
    </row>
    <row r="6" spans="1:6" x14ac:dyDescent="0.25">
      <c r="A6" s="297"/>
      <c r="B6" s="562"/>
      <c r="C6" s="562"/>
      <c r="D6" s="566"/>
      <c r="E6" s="563">
        <f t="shared" si="0"/>
        <v>0</v>
      </c>
      <c r="F6" s="557"/>
    </row>
    <row r="7" spans="1:6" x14ac:dyDescent="0.25">
      <c r="A7" s="297"/>
      <c r="B7" s="562"/>
      <c r="C7" s="562"/>
      <c r="D7" s="566"/>
      <c r="E7" s="563">
        <f t="shared" si="0"/>
        <v>0</v>
      </c>
      <c r="F7" s="557"/>
    </row>
    <row r="8" spans="1:6" x14ac:dyDescent="0.25">
      <c r="A8" s="297"/>
      <c r="B8" s="562"/>
      <c r="C8" s="562"/>
      <c r="D8" s="566"/>
      <c r="E8" s="563">
        <f t="shared" si="0"/>
        <v>0</v>
      </c>
      <c r="F8" s="557"/>
    </row>
    <row r="9" spans="1:6" x14ac:dyDescent="0.25">
      <c r="A9" s="297"/>
      <c r="B9" s="562"/>
      <c r="C9" s="562"/>
      <c r="D9" s="566"/>
      <c r="E9" s="563">
        <f t="shared" si="0"/>
        <v>0</v>
      </c>
      <c r="F9" s="557"/>
    </row>
    <row r="10" spans="1:6" x14ac:dyDescent="0.25">
      <c r="A10" s="297"/>
      <c r="B10" s="562"/>
      <c r="C10" s="562"/>
      <c r="D10" s="566"/>
      <c r="E10" s="563">
        <f t="shared" si="0"/>
        <v>0</v>
      </c>
      <c r="F10" s="557"/>
    </row>
    <row r="11" spans="1:6" x14ac:dyDescent="0.25">
      <c r="A11" s="297"/>
      <c r="B11" s="562"/>
      <c r="C11" s="562"/>
      <c r="D11" s="566"/>
      <c r="E11" s="563">
        <f t="shared" si="0"/>
        <v>0</v>
      </c>
      <c r="F11" s="557"/>
    </row>
    <row r="12" spans="1:6" x14ac:dyDescent="0.25">
      <c r="A12" s="297"/>
      <c r="B12" s="562"/>
      <c r="C12" s="562"/>
      <c r="D12" s="566"/>
      <c r="E12" s="563">
        <f t="shared" si="0"/>
        <v>0</v>
      </c>
      <c r="F12" s="557"/>
    </row>
    <row r="13" spans="1:6" x14ac:dyDescent="0.25">
      <c r="A13" s="297"/>
      <c r="B13" s="562"/>
      <c r="C13" s="562"/>
      <c r="D13" s="566"/>
      <c r="E13" s="563">
        <f t="shared" si="0"/>
        <v>0</v>
      </c>
      <c r="F13" s="557"/>
    </row>
    <row r="14" spans="1:6" x14ac:dyDescent="0.25">
      <c r="A14" s="297"/>
      <c r="B14" s="562"/>
      <c r="C14" s="562"/>
      <c r="D14" s="566"/>
      <c r="E14" s="563">
        <f t="shared" si="0"/>
        <v>0</v>
      </c>
      <c r="F14" s="557"/>
    </row>
    <row r="15" spans="1:6" x14ac:dyDescent="0.25">
      <c r="A15" s="297"/>
      <c r="B15" s="562"/>
      <c r="C15" s="562"/>
      <c r="D15" s="566"/>
      <c r="E15" s="563">
        <f t="shared" si="0"/>
        <v>0</v>
      </c>
      <c r="F15" s="557"/>
    </row>
    <row r="16" spans="1:6" x14ac:dyDescent="0.25">
      <c r="A16" s="297"/>
      <c r="B16" s="562"/>
      <c r="C16" s="562"/>
      <c r="D16" s="566"/>
      <c r="E16" s="563">
        <f t="shared" si="0"/>
        <v>0</v>
      </c>
      <c r="F16" s="557"/>
    </row>
    <row r="17" spans="1:6" x14ac:dyDescent="0.25">
      <c r="A17" s="297"/>
      <c r="B17" s="562"/>
      <c r="C17" s="562"/>
      <c r="D17" s="566"/>
      <c r="E17" s="563">
        <f t="shared" si="0"/>
        <v>0</v>
      </c>
      <c r="F17" s="557"/>
    </row>
    <row r="18" spans="1:6" x14ac:dyDescent="0.25">
      <c r="A18" s="297"/>
      <c r="B18" s="562"/>
      <c r="C18" s="562"/>
      <c r="D18" s="566"/>
      <c r="E18" s="563">
        <f t="shared" si="0"/>
        <v>0</v>
      </c>
      <c r="F18" s="557"/>
    </row>
    <row r="19" spans="1:6" x14ac:dyDescent="0.25">
      <c r="A19" s="297"/>
      <c r="B19" s="562"/>
      <c r="C19" s="562"/>
      <c r="D19" s="566"/>
      <c r="E19" s="563">
        <f t="shared" si="0"/>
        <v>0</v>
      </c>
      <c r="F19" s="557"/>
    </row>
    <row r="20" spans="1:6" x14ac:dyDescent="0.25">
      <c r="A20" s="297"/>
      <c r="B20" s="562"/>
      <c r="C20" s="562"/>
      <c r="D20" s="566"/>
      <c r="E20" s="563">
        <f t="shared" si="0"/>
        <v>0</v>
      </c>
      <c r="F20" s="557"/>
    </row>
    <row r="21" spans="1:6" x14ac:dyDescent="0.25">
      <c r="A21" s="297"/>
      <c r="B21" s="562"/>
      <c r="C21" s="562"/>
      <c r="D21" s="566"/>
      <c r="E21" s="563">
        <f t="shared" si="0"/>
        <v>0</v>
      </c>
      <c r="F21" s="557"/>
    </row>
    <row r="22" spans="1:6" x14ac:dyDescent="0.25">
      <c r="A22" s="297"/>
      <c r="B22" s="562"/>
      <c r="C22" s="562"/>
      <c r="D22" s="566"/>
      <c r="E22" s="563">
        <f t="shared" si="0"/>
        <v>0</v>
      </c>
      <c r="F22" s="557"/>
    </row>
    <row r="23" spans="1:6" x14ac:dyDescent="0.25">
      <c r="A23" s="297"/>
      <c r="B23" s="562"/>
      <c r="C23" s="562"/>
      <c r="D23" s="566"/>
      <c r="E23" s="563">
        <f t="shared" si="0"/>
        <v>0</v>
      </c>
      <c r="F23" s="557"/>
    </row>
    <row r="24" spans="1:6" x14ac:dyDescent="0.25">
      <c r="A24" s="297"/>
      <c r="B24" s="562"/>
      <c r="C24" s="562"/>
      <c r="D24" s="566"/>
      <c r="E24" s="563">
        <f t="shared" si="0"/>
        <v>0</v>
      </c>
      <c r="F24" s="557"/>
    </row>
    <row r="25" spans="1:6" x14ac:dyDescent="0.25">
      <c r="A25" s="297"/>
      <c r="B25" s="562"/>
      <c r="C25" s="562"/>
      <c r="D25" s="566"/>
      <c r="E25" s="563">
        <f t="shared" si="0"/>
        <v>0</v>
      </c>
      <c r="F25" s="557"/>
    </row>
    <row r="26" spans="1:6" x14ac:dyDescent="0.25">
      <c r="A26" s="297"/>
      <c r="B26" s="562"/>
      <c r="C26" s="562"/>
      <c r="D26" s="566"/>
      <c r="E26" s="563">
        <f t="shared" si="0"/>
        <v>0</v>
      </c>
      <c r="F26" s="557"/>
    </row>
    <row r="27" spans="1:6" x14ac:dyDescent="0.25">
      <c r="A27" s="297"/>
      <c r="B27" s="562"/>
      <c r="C27" s="562"/>
      <c r="D27" s="566"/>
      <c r="E27" s="563">
        <f t="shared" si="0"/>
        <v>0</v>
      </c>
      <c r="F27" s="557"/>
    </row>
    <row r="28" spans="1:6" x14ac:dyDescent="0.25">
      <c r="A28" s="297"/>
      <c r="B28" s="562"/>
      <c r="C28" s="562"/>
      <c r="D28" s="566"/>
      <c r="E28" s="563">
        <f t="shared" si="0"/>
        <v>0</v>
      </c>
      <c r="F28" s="557"/>
    </row>
  </sheetData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Q15"/>
  <sheetViews>
    <sheetView view="pageBreakPreview" topLeftCell="F1" zoomScale="60" zoomScaleNormal="80" workbookViewId="0">
      <selection activeCell="P24" sqref="P24"/>
    </sheetView>
  </sheetViews>
  <sheetFormatPr defaultColWidth="8.7109375" defaultRowHeight="12" x14ac:dyDescent="0.2"/>
  <cols>
    <col min="1" max="1" width="36.28515625" style="147" customWidth="1"/>
    <col min="2" max="2" width="34.7109375" style="147" customWidth="1"/>
    <col min="3" max="3" width="3.28515625" style="147" customWidth="1"/>
    <col min="4" max="24" width="3.7109375" style="147" customWidth="1"/>
    <col min="25" max="25" width="4.42578125" style="147" customWidth="1"/>
    <col min="26" max="28" width="16.42578125" style="147" customWidth="1"/>
    <col min="29" max="29" width="18.140625" style="147" customWidth="1"/>
    <col min="30" max="30" width="9" style="147" customWidth="1"/>
    <col min="31" max="31" width="9.140625" style="147" customWidth="1"/>
    <col min="32" max="32" width="9" style="147" customWidth="1"/>
    <col min="33" max="33" width="10.7109375" style="148" customWidth="1"/>
    <col min="34" max="36" width="10.7109375" style="147" customWidth="1"/>
    <col min="37" max="37" width="52.140625" style="147" customWidth="1"/>
    <col min="38" max="38" width="51.7109375" style="147" customWidth="1"/>
    <col min="39" max="42" width="8.7109375" style="147"/>
    <col min="43" max="43" width="18.85546875" style="147" customWidth="1"/>
    <col min="44" max="16384" width="8.7109375" style="147"/>
  </cols>
  <sheetData>
    <row r="1" spans="1:43" ht="26.1" customHeight="1" thickBot="1" x14ac:dyDescent="0.25">
      <c r="A1" s="764" t="s">
        <v>223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  <c r="W1" s="764"/>
      <c r="X1" s="764"/>
      <c r="Y1" s="764"/>
      <c r="Z1" s="567"/>
      <c r="AA1" s="567"/>
      <c r="AB1" s="567"/>
      <c r="AC1" s="567"/>
      <c r="AD1" s="764" t="s">
        <v>221</v>
      </c>
      <c r="AE1" s="764"/>
      <c r="AF1" s="764"/>
      <c r="AG1" s="764"/>
      <c r="AH1" s="764"/>
      <c r="AI1" s="764"/>
      <c r="AJ1" s="764"/>
      <c r="AK1" s="764"/>
    </row>
    <row r="2" spans="1:43" ht="36" customHeight="1" thickBot="1" x14ac:dyDescent="0.25">
      <c r="A2" s="267"/>
      <c r="B2" s="266"/>
      <c r="C2" s="268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9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9"/>
      <c r="Z2" s="765" t="s">
        <v>299</v>
      </c>
      <c r="AA2" s="766"/>
      <c r="AB2" s="766"/>
      <c r="AC2" s="766"/>
      <c r="AD2" s="766"/>
      <c r="AE2" s="766"/>
      <c r="AF2" s="766"/>
      <c r="AG2" s="766"/>
      <c r="AH2" s="766"/>
      <c r="AI2" s="766"/>
      <c r="AJ2" s="766"/>
      <c r="AK2" s="767"/>
      <c r="AL2" s="756" t="s">
        <v>298</v>
      </c>
      <c r="AM2" s="757"/>
      <c r="AN2" s="757"/>
      <c r="AO2" s="757"/>
      <c r="AP2" s="757"/>
      <c r="AQ2" s="758"/>
    </row>
    <row r="3" spans="1:43" ht="36" customHeight="1" thickBot="1" x14ac:dyDescent="0.25">
      <c r="A3" s="352"/>
      <c r="B3" s="350"/>
      <c r="C3" s="351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49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49"/>
      <c r="Z3" s="756" t="s">
        <v>361</v>
      </c>
      <c r="AA3" s="757"/>
      <c r="AB3" s="757"/>
      <c r="AC3" s="757"/>
      <c r="AD3" s="756" t="s">
        <v>362</v>
      </c>
      <c r="AE3" s="757"/>
      <c r="AF3" s="757"/>
      <c r="AG3" s="757"/>
      <c r="AH3" s="757"/>
      <c r="AI3" s="757"/>
      <c r="AJ3" s="757"/>
      <c r="AK3" s="758"/>
      <c r="AL3" s="272"/>
      <c r="AM3" s="273"/>
      <c r="AN3" s="273"/>
      <c r="AO3" s="273"/>
      <c r="AP3" s="273"/>
      <c r="AQ3" s="263"/>
    </row>
    <row r="4" spans="1:43" ht="51" customHeight="1" x14ac:dyDescent="0.2">
      <c r="A4" s="352" t="s">
        <v>224</v>
      </c>
      <c r="B4" s="653" t="s">
        <v>374</v>
      </c>
      <c r="C4" s="351" t="s">
        <v>126</v>
      </c>
      <c r="D4" s="350" t="s">
        <v>127</v>
      </c>
      <c r="E4" s="350" t="s">
        <v>128</v>
      </c>
      <c r="F4" s="350" t="s">
        <v>129</v>
      </c>
      <c r="G4" s="350" t="s">
        <v>130</v>
      </c>
      <c r="H4" s="350" t="s">
        <v>131</v>
      </c>
      <c r="I4" s="350" t="s">
        <v>132</v>
      </c>
      <c r="J4" s="350" t="s">
        <v>133</v>
      </c>
      <c r="K4" s="350" t="s">
        <v>134</v>
      </c>
      <c r="L4" s="350" t="s">
        <v>135</v>
      </c>
      <c r="M4" s="350" t="s">
        <v>136</v>
      </c>
      <c r="N4" s="349" t="s">
        <v>137</v>
      </c>
      <c r="O4" s="350" t="s">
        <v>138</v>
      </c>
      <c r="P4" s="350" t="s">
        <v>139</v>
      </c>
      <c r="Q4" s="350" t="s">
        <v>140</v>
      </c>
      <c r="R4" s="350" t="s">
        <v>141</v>
      </c>
      <c r="S4" s="350" t="s">
        <v>142</v>
      </c>
      <c r="T4" s="350" t="s">
        <v>143</v>
      </c>
      <c r="U4" s="350" t="s">
        <v>144</v>
      </c>
      <c r="V4" s="350" t="s">
        <v>145</v>
      </c>
      <c r="W4" s="350" t="s">
        <v>146</v>
      </c>
      <c r="X4" s="350" t="s">
        <v>147</v>
      </c>
      <c r="Y4" s="349" t="s">
        <v>148</v>
      </c>
      <c r="Z4" s="268" t="s">
        <v>363</v>
      </c>
      <c r="AA4" s="266" t="s">
        <v>364</v>
      </c>
      <c r="AB4" s="266" t="s">
        <v>365</v>
      </c>
      <c r="AC4" s="266" t="s">
        <v>366</v>
      </c>
      <c r="AD4" s="270" t="s">
        <v>215</v>
      </c>
      <c r="AE4" s="271" t="s">
        <v>216</v>
      </c>
      <c r="AF4" s="271" t="s">
        <v>217</v>
      </c>
      <c r="AG4" s="263" t="s">
        <v>220</v>
      </c>
      <c r="AH4" s="263" t="s">
        <v>219</v>
      </c>
      <c r="AI4" s="263" t="s">
        <v>165</v>
      </c>
      <c r="AJ4" s="759" t="s">
        <v>222</v>
      </c>
      <c r="AK4" s="629" t="s">
        <v>225</v>
      </c>
      <c r="AL4" s="629" t="s">
        <v>297</v>
      </c>
      <c r="AM4" s="270" t="s">
        <v>215</v>
      </c>
      <c r="AN4" s="271" t="s">
        <v>216</v>
      </c>
      <c r="AO4" s="271" t="s">
        <v>217</v>
      </c>
      <c r="AP4" s="263" t="s">
        <v>220</v>
      </c>
      <c r="AQ4" s="762" t="s">
        <v>296</v>
      </c>
    </row>
    <row r="5" spans="1:43" ht="8.25" customHeight="1" thickBot="1" x14ac:dyDescent="0.25">
      <c r="A5" s="150"/>
      <c r="B5" s="151"/>
      <c r="C5" s="152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3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3"/>
      <c r="Z5" s="152"/>
      <c r="AA5" s="151"/>
      <c r="AB5" s="151"/>
      <c r="AC5" s="151"/>
      <c r="AD5" s="272"/>
      <c r="AE5" s="273"/>
      <c r="AF5" s="273"/>
      <c r="AG5" s="281"/>
      <c r="AH5" s="281"/>
      <c r="AI5" s="281"/>
      <c r="AJ5" s="760"/>
      <c r="AK5" s="348"/>
      <c r="AL5" s="283"/>
      <c r="AM5" s="272"/>
      <c r="AN5" s="273"/>
      <c r="AO5" s="273"/>
      <c r="AP5" s="281"/>
      <c r="AQ5" s="763"/>
    </row>
    <row r="6" spans="1:43" ht="15" customHeight="1" x14ac:dyDescent="0.2">
      <c r="A6" s="264" t="s">
        <v>218</v>
      </c>
      <c r="B6" s="264"/>
      <c r="C6" s="359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1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1"/>
      <c r="Z6" s="631"/>
      <c r="AA6" s="632"/>
      <c r="AB6" s="632"/>
      <c r="AC6" s="633"/>
      <c r="AD6" s="594"/>
      <c r="AE6" s="291"/>
      <c r="AF6" s="291"/>
      <c r="AG6" s="584">
        <f t="shared" ref="AG6:AG11" si="0">AD6*AF6+AC6</f>
        <v>0</v>
      </c>
      <c r="AH6" s="584">
        <f t="shared" ref="AH6:AH11" si="1">AE6*AF6+AC6</f>
        <v>0</v>
      </c>
      <c r="AI6" s="584">
        <f t="shared" ref="AI6:AI11" si="2">AH6-AG6</f>
        <v>0</v>
      </c>
      <c r="AJ6" s="760"/>
      <c r="AK6" s="596"/>
      <c r="AL6" s="593"/>
      <c r="AM6" s="594"/>
      <c r="AN6" s="291"/>
      <c r="AO6" s="291"/>
      <c r="AP6" s="584">
        <f t="shared" ref="AP6:AP11" si="3">AM6*AO6</f>
        <v>0</v>
      </c>
      <c r="AQ6" s="596"/>
    </row>
    <row r="7" spans="1:43" ht="15" customHeight="1" x14ac:dyDescent="0.2">
      <c r="A7" s="264" t="s">
        <v>170</v>
      </c>
      <c r="B7" s="264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4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4"/>
      <c r="Z7" s="634"/>
      <c r="AA7" s="635"/>
      <c r="AB7" s="635"/>
      <c r="AC7" s="636"/>
      <c r="AD7" s="594"/>
      <c r="AE7" s="291"/>
      <c r="AF7" s="291"/>
      <c r="AG7" s="584">
        <f t="shared" si="0"/>
        <v>0</v>
      </c>
      <c r="AH7" s="584">
        <f t="shared" si="1"/>
        <v>0</v>
      </c>
      <c r="AI7" s="584">
        <f t="shared" si="2"/>
        <v>0</v>
      </c>
      <c r="AJ7" s="760"/>
      <c r="AK7" s="597"/>
      <c r="AL7" s="594"/>
      <c r="AM7" s="594"/>
      <c r="AN7" s="291"/>
      <c r="AO7" s="291"/>
      <c r="AP7" s="584">
        <f t="shared" si="3"/>
        <v>0</v>
      </c>
      <c r="AQ7" s="597"/>
    </row>
    <row r="8" spans="1:43" ht="15" customHeight="1" x14ac:dyDescent="0.2">
      <c r="A8" s="264" t="s">
        <v>171</v>
      </c>
      <c r="B8" s="264"/>
      <c r="C8" s="362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4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  <c r="Z8" s="634"/>
      <c r="AA8" s="635"/>
      <c r="AB8" s="635"/>
      <c r="AC8" s="636"/>
      <c r="AD8" s="594"/>
      <c r="AE8" s="291"/>
      <c r="AF8" s="291"/>
      <c r="AG8" s="584">
        <f t="shared" si="0"/>
        <v>0</v>
      </c>
      <c r="AH8" s="584">
        <f t="shared" si="1"/>
        <v>0</v>
      </c>
      <c r="AI8" s="584">
        <f t="shared" si="2"/>
        <v>0</v>
      </c>
      <c r="AJ8" s="760"/>
      <c r="AK8" s="597"/>
      <c r="AL8" s="594"/>
      <c r="AM8" s="594"/>
      <c r="AN8" s="291"/>
      <c r="AO8" s="291"/>
      <c r="AP8" s="584">
        <f t="shared" si="3"/>
        <v>0</v>
      </c>
      <c r="AQ8" s="597"/>
    </row>
    <row r="9" spans="1:43" ht="15" customHeight="1" x14ac:dyDescent="0.2">
      <c r="A9" s="264" t="s">
        <v>172</v>
      </c>
      <c r="B9" s="264"/>
      <c r="C9" s="362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4"/>
      <c r="Z9" s="634"/>
      <c r="AA9" s="635"/>
      <c r="AB9" s="635"/>
      <c r="AC9" s="636"/>
      <c r="AD9" s="594"/>
      <c r="AE9" s="291"/>
      <c r="AF9" s="291"/>
      <c r="AG9" s="584">
        <f t="shared" si="0"/>
        <v>0</v>
      </c>
      <c r="AH9" s="584">
        <f t="shared" si="1"/>
        <v>0</v>
      </c>
      <c r="AI9" s="584">
        <f t="shared" si="2"/>
        <v>0</v>
      </c>
      <c r="AJ9" s="760"/>
      <c r="AK9" s="597"/>
      <c r="AL9" s="594"/>
      <c r="AM9" s="594"/>
      <c r="AN9" s="291"/>
      <c r="AO9" s="291"/>
      <c r="AP9" s="584">
        <f t="shared" si="3"/>
        <v>0</v>
      </c>
      <c r="AQ9" s="597"/>
    </row>
    <row r="10" spans="1:43" ht="15" customHeight="1" x14ac:dyDescent="0.2">
      <c r="A10" s="264" t="s">
        <v>175</v>
      </c>
      <c r="B10" s="264"/>
      <c r="C10" s="362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4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4"/>
      <c r="Z10" s="634"/>
      <c r="AA10" s="635"/>
      <c r="AB10" s="635"/>
      <c r="AC10" s="636"/>
      <c r="AD10" s="594"/>
      <c r="AE10" s="291"/>
      <c r="AF10" s="291"/>
      <c r="AG10" s="584">
        <f t="shared" si="0"/>
        <v>0</v>
      </c>
      <c r="AH10" s="584">
        <f t="shared" si="1"/>
        <v>0</v>
      </c>
      <c r="AI10" s="584">
        <f t="shared" si="2"/>
        <v>0</v>
      </c>
      <c r="AJ10" s="760"/>
      <c r="AK10" s="597"/>
      <c r="AL10" s="594"/>
      <c r="AM10" s="594"/>
      <c r="AN10" s="291"/>
      <c r="AO10" s="291"/>
      <c r="AP10" s="584">
        <f t="shared" si="3"/>
        <v>0</v>
      </c>
      <c r="AQ10" s="597"/>
    </row>
    <row r="11" spans="1:43" ht="15.95" customHeight="1" thickBot="1" x14ac:dyDescent="0.25">
      <c r="A11" s="265" t="s">
        <v>163</v>
      </c>
      <c r="B11" s="265"/>
      <c r="C11" s="365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7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7"/>
      <c r="Z11" s="637"/>
      <c r="AA11" s="638"/>
      <c r="AB11" s="638"/>
      <c r="AC11" s="639"/>
      <c r="AD11" s="595"/>
      <c r="AE11" s="292"/>
      <c r="AF11" s="292"/>
      <c r="AG11" s="630">
        <f t="shared" si="0"/>
        <v>0</v>
      </c>
      <c r="AH11" s="630">
        <f t="shared" si="1"/>
        <v>0</v>
      </c>
      <c r="AI11" s="630">
        <f t="shared" si="2"/>
        <v>0</v>
      </c>
      <c r="AJ11" s="761"/>
      <c r="AK11" s="598"/>
      <c r="AL11" s="595"/>
      <c r="AM11" s="595"/>
      <c r="AN11" s="292"/>
      <c r="AO11" s="292"/>
      <c r="AP11" s="584">
        <f t="shared" si="3"/>
        <v>0</v>
      </c>
      <c r="AQ11" s="598"/>
    </row>
    <row r="12" spans="1:43" ht="12.75" thickBot="1" x14ac:dyDescent="0.25">
      <c r="A12" s="258" t="s">
        <v>164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628"/>
      <c r="AA12" s="628"/>
      <c r="AB12" s="628"/>
      <c r="AC12" s="628">
        <f t="shared" ref="AC12:AI12" si="4">SUM(AC6:AC11)</f>
        <v>0</v>
      </c>
      <c r="AD12" s="277">
        <f t="shared" si="4"/>
        <v>0</v>
      </c>
      <c r="AE12" s="277">
        <f t="shared" si="4"/>
        <v>0</v>
      </c>
      <c r="AF12" s="277">
        <f t="shared" si="4"/>
        <v>0</v>
      </c>
      <c r="AG12" s="282">
        <f t="shared" si="4"/>
        <v>0</v>
      </c>
      <c r="AH12" s="282">
        <f t="shared" si="4"/>
        <v>0</v>
      </c>
      <c r="AI12" s="282">
        <f t="shared" si="4"/>
        <v>0</v>
      </c>
      <c r="AJ12" s="347">
        <v>0</v>
      </c>
      <c r="AK12" s="346"/>
      <c r="AL12" s="277"/>
      <c r="AM12" s="277">
        <f>SUM(AM6:AM11)</f>
        <v>0</v>
      </c>
      <c r="AN12" s="277">
        <f>SUM(AN6:AN11)</f>
        <v>0</v>
      </c>
      <c r="AO12" s="277">
        <f>SUM(AO6:AO11)</f>
        <v>0</v>
      </c>
      <c r="AP12" s="282">
        <f>SUM(AP6:AP11)</f>
        <v>0</v>
      </c>
      <c r="AQ12" s="282"/>
    </row>
    <row r="13" spans="1:43" x14ac:dyDescent="0.2">
      <c r="AH13" s="159"/>
      <c r="AI13" s="159"/>
      <c r="AJ13" s="159"/>
    </row>
    <row r="15" spans="1:43" ht="15.75" x14ac:dyDescent="0.25">
      <c r="AG15" s="160"/>
    </row>
  </sheetData>
  <mergeCells count="8">
    <mergeCell ref="AL2:AQ2"/>
    <mergeCell ref="AJ4:AJ11"/>
    <mergeCell ref="AQ4:AQ5"/>
    <mergeCell ref="A1:Y1"/>
    <mergeCell ref="AD1:AK1"/>
    <mergeCell ref="Z2:AK2"/>
    <mergeCell ref="Z3:AC3"/>
    <mergeCell ref="AD3:AK3"/>
  </mergeCells>
  <conditionalFormatting sqref="C6:AC1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14"/>
  <sheetViews>
    <sheetView view="pageBreakPreview" zoomScale="60" zoomScaleNormal="80" workbookViewId="0">
      <selection activeCell="B13" sqref="B13"/>
    </sheetView>
  </sheetViews>
  <sheetFormatPr defaultColWidth="8.85546875" defaultRowHeight="15" x14ac:dyDescent="0.25"/>
  <cols>
    <col min="1" max="1" width="32.28515625" style="4" customWidth="1"/>
    <col min="2" max="2" width="66.7109375" style="4" customWidth="1"/>
    <col min="3" max="3" width="14.28515625" style="6" customWidth="1"/>
    <col min="4" max="4" width="23.42578125" style="4" customWidth="1"/>
    <col min="5" max="16384" width="8.85546875" style="4"/>
  </cols>
  <sheetData>
    <row r="1" spans="1:4" ht="18" thickTop="1" thickBot="1" x14ac:dyDescent="0.3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">
      <c r="A2" s="534" t="s">
        <v>3</v>
      </c>
      <c r="B2" s="535" t="s">
        <v>4</v>
      </c>
      <c r="C2" s="536" t="s">
        <v>11</v>
      </c>
      <c r="D2" s="212">
        <v>10</v>
      </c>
    </row>
    <row r="3" spans="1:4" ht="41.45" customHeight="1" x14ac:dyDescent="0.25">
      <c r="A3" s="776" t="s">
        <v>5</v>
      </c>
      <c r="B3" s="787" t="s">
        <v>14</v>
      </c>
      <c r="C3" s="789" t="s">
        <v>12</v>
      </c>
      <c r="D3" s="778">
        <v>0.04</v>
      </c>
    </row>
    <row r="4" spans="1:4" ht="63" customHeight="1" thickBot="1" x14ac:dyDescent="0.3">
      <c r="A4" s="777"/>
      <c r="B4" s="788"/>
      <c r="C4" s="790"/>
      <c r="D4" s="779"/>
    </row>
    <row r="5" spans="1:4" ht="49.5" x14ac:dyDescent="0.25">
      <c r="A5" s="776" t="s">
        <v>6</v>
      </c>
      <c r="B5" s="537" t="s">
        <v>7</v>
      </c>
      <c r="C5" s="789" t="s">
        <v>12</v>
      </c>
      <c r="D5" s="780">
        <v>0.05</v>
      </c>
    </row>
    <row r="6" spans="1:4" ht="50.25" thickBot="1" x14ac:dyDescent="0.3">
      <c r="A6" s="777"/>
      <c r="B6" s="535" t="s">
        <v>8</v>
      </c>
      <c r="C6" s="790"/>
      <c r="D6" s="781"/>
    </row>
    <row r="7" spans="1:4" ht="33.75" thickBot="1" x14ac:dyDescent="0.3">
      <c r="A7" s="538" t="s">
        <v>194</v>
      </c>
      <c r="B7" s="539" t="s">
        <v>341</v>
      </c>
      <c r="C7" s="540" t="s">
        <v>13</v>
      </c>
      <c r="D7" s="211">
        <v>1373</v>
      </c>
    </row>
    <row r="8" spans="1:4" ht="15" customHeight="1" x14ac:dyDescent="0.25">
      <c r="A8" s="782" t="s">
        <v>9</v>
      </c>
      <c r="B8" s="772" t="s">
        <v>346</v>
      </c>
      <c r="C8" s="791" t="s">
        <v>15</v>
      </c>
      <c r="D8" s="784">
        <f>$D$7*1.352/(D12/12)</f>
        <v>11.379592337164752</v>
      </c>
    </row>
    <row r="9" spans="1:4" ht="57" customHeight="1" thickBot="1" x14ac:dyDescent="0.3">
      <c r="A9" s="783"/>
      <c r="B9" s="786"/>
      <c r="C9" s="792"/>
      <c r="D9" s="785"/>
    </row>
    <row r="10" spans="1:4" x14ac:dyDescent="0.25">
      <c r="A10" s="770" t="s">
        <v>195</v>
      </c>
      <c r="B10" s="772" t="s">
        <v>342</v>
      </c>
      <c r="C10" s="768" t="s">
        <v>15</v>
      </c>
      <c r="D10" s="774">
        <v>5.55</v>
      </c>
    </row>
    <row r="11" spans="1:4" ht="20.25" customHeight="1" thickBot="1" x14ac:dyDescent="0.3">
      <c r="A11" s="771"/>
      <c r="B11" s="773"/>
      <c r="C11" s="769"/>
      <c r="D11" s="775"/>
    </row>
    <row r="12" spans="1:4" ht="72" customHeight="1" thickBot="1" x14ac:dyDescent="0.3">
      <c r="A12" s="541" t="s">
        <v>343</v>
      </c>
      <c r="B12" s="539" t="s">
        <v>348</v>
      </c>
      <c r="C12" s="542" t="s">
        <v>344</v>
      </c>
      <c r="D12" s="544">
        <v>1957.5</v>
      </c>
    </row>
    <row r="13" spans="1:4" ht="72" customHeight="1" thickBot="1" x14ac:dyDescent="0.3">
      <c r="A13" s="541" t="s">
        <v>345</v>
      </c>
      <c r="B13" s="539" t="s">
        <v>347</v>
      </c>
      <c r="C13" s="542" t="s">
        <v>344</v>
      </c>
      <c r="D13" s="543">
        <v>2088</v>
      </c>
    </row>
    <row r="14" spans="1:4" ht="21" customHeight="1" thickBot="1" x14ac:dyDescent="0.3">
      <c r="A14" s="541" t="s">
        <v>25</v>
      </c>
      <c r="B14" s="541" t="s">
        <v>116</v>
      </c>
      <c r="C14" s="542" t="s">
        <v>11</v>
      </c>
      <c r="D14" s="109">
        <v>2019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3"/>
  <sheetViews>
    <sheetView view="pageBreakPreview" topLeftCell="D1" zoomScale="60" zoomScaleNormal="60" workbookViewId="0">
      <selection sqref="A1:Y1"/>
    </sheetView>
  </sheetViews>
  <sheetFormatPr defaultColWidth="8.85546875" defaultRowHeight="15" x14ac:dyDescent="0.25"/>
  <sheetData>
    <row r="1" spans="1:20" x14ac:dyDescent="0.25">
      <c r="A1" t="s">
        <v>241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</row>
    <row r="2" spans="1:20" x14ac:dyDescent="0.25">
      <c r="A2" t="s">
        <v>242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1:20" x14ac:dyDescent="0.25">
      <c r="A3" s="310" t="s">
        <v>243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11" t="s">
        <v>180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C70"/>
  <sheetViews>
    <sheetView view="pageBreakPreview" topLeftCell="A28" zoomScale="60" zoomScaleNormal="80" workbookViewId="0">
      <selection activeCell="C39" sqref="C39"/>
    </sheetView>
  </sheetViews>
  <sheetFormatPr defaultColWidth="8.85546875" defaultRowHeight="15" x14ac:dyDescent="0.25"/>
  <cols>
    <col min="1" max="1" width="21.42578125" customWidth="1"/>
    <col min="2" max="2" width="14.42578125" customWidth="1"/>
    <col min="3" max="3" width="14.28515625" style="309" customWidth="1"/>
    <col min="4" max="4" width="14.140625" style="309" customWidth="1"/>
    <col min="5" max="5" width="14.85546875" style="309" customWidth="1"/>
    <col min="6" max="6" width="11.85546875" style="309" customWidth="1"/>
    <col min="7" max="7" width="15.85546875" style="309" customWidth="1"/>
    <col min="8" max="8" width="13.42578125" style="309" customWidth="1"/>
    <col min="9" max="9" width="10" style="309" customWidth="1"/>
    <col min="10" max="28" width="8.42578125" style="309" customWidth="1"/>
  </cols>
  <sheetData>
    <row r="1" spans="1:29" ht="15.75" thickBot="1" x14ac:dyDescent="0.3"/>
    <row r="2" spans="1:29" ht="48.75" customHeight="1" thickBot="1" x14ac:dyDescent="0.3">
      <c r="A2" s="312" t="s">
        <v>244</v>
      </c>
      <c r="B2" s="333" t="s">
        <v>245</v>
      </c>
      <c r="C2" s="331" t="s">
        <v>246</v>
      </c>
      <c r="D2" s="313" t="s">
        <v>247</v>
      </c>
      <c r="E2" s="313" t="s">
        <v>248</v>
      </c>
      <c r="F2" s="338" t="s">
        <v>237</v>
      </c>
      <c r="G2" s="333" t="s">
        <v>249</v>
      </c>
      <c r="H2" s="342" t="s">
        <v>246</v>
      </c>
      <c r="I2" s="314" t="s">
        <v>237</v>
      </c>
      <c r="O2" s="315"/>
      <c r="P2" s="316"/>
      <c r="Q2" s="316"/>
      <c r="R2" s="317"/>
      <c r="S2" s="317"/>
      <c r="T2" s="317"/>
      <c r="U2" s="317"/>
      <c r="V2" s="317"/>
      <c r="W2" s="317"/>
      <c r="X2" s="317"/>
      <c r="Y2" s="316"/>
      <c r="Z2" s="316"/>
      <c r="AA2" s="317"/>
      <c r="AB2" s="317"/>
      <c r="AC2" s="317"/>
    </row>
    <row r="3" spans="1:29" x14ac:dyDescent="0.25">
      <c r="A3" s="318" t="s">
        <v>182</v>
      </c>
      <c r="B3" s="334"/>
      <c r="C3" s="332"/>
      <c r="D3" s="328"/>
      <c r="E3" s="328"/>
      <c r="F3" s="339"/>
      <c r="G3" s="343"/>
      <c r="H3" s="332"/>
      <c r="I3" s="328"/>
      <c r="O3" s="319"/>
      <c r="P3" s="320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</row>
    <row r="4" spans="1:29" x14ac:dyDescent="0.25">
      <c r="A4" s="322" t="s">
        <v>250</v>
      </c>
      <c r="B4" s="335" t="s">
        <v>251</v>
      </c>
      <c r="C4" s="330"/>
      <c r="D4" s="329"/>
      <c r="E4" s="329"/>
      <c r="F4" s="340"/>
      <c r="G4" s="336"/>
      <c r="H4" s="330"/>
      <c r="I4" s="329"/>
      <c r="O4" s="319"/>
      <c r="P4" s="32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</row>
    <row r="5" spans="1:29" ht="15.75" customHeight="1" x14ac:dyDescent="0.25">
      <c r="A5" s="324" t="s">
        <v>252</v>
      </c>
      <c r="B5" s="336"/>
      <c r="C5" s="330"/>
      <c r="D5" s="329"/>
      <c r="E5" s="329"/>
      <c r="F5" s="340"/>
      <c r="G5" s="336"/>
      <c r="H5" s="330"/>
      <c r="I5" s="329"/>
      <c r="O5" s="319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</row>
    <row r="6" spans="1:29" x14ac:dyDescent="0.25">
      <c r="A6" s="324" t="s">
        <v>253</v>
      </c>
      <c r="B6" s="336"/>
      <c r="C6" s="330"/>
      <c r="D6" s="329"/>
      <c r="E6" s="329"/>
      <c r="F6" s="340"/>
      <c r="G6" s="336"/>
      <c r="H6" s="330"/>
      <c r="I6" s="329"/>
      <c r="O6" s="319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</row>
    <row r="7" spans="1:29" x14ac:dyDescent="0.25">
      <c r="A7" s="324" t="s">
        <v>254</v>
      </c>
      <c r="B7" s="336"/>
      <c r="C7" s="330"/>
      <c r="D7" s="329"/>
      <c r="E7" s="329"/>
      <c r="F7" s="340"/>
      <c r="G7" s="336"/>
      <c r="H7" s="330"/>
      <c r="I7" s="329"/>
      <c r="O7" s="319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</row>
    <row r="8" spans="1:29" x14ac:dyDescent="0.25">
      <c r="A8" s="324" t="s">
        <v>255</v>
      </c>
      <c r="B8" s="336"/>
      <c r="C8" s="330"/>
      <c r="D8" s="329"/>
      <c r="E8" s="329"/>
      <c r="F8" s="340"/>
      <c r="G8" s="336"/>
      <c r="H8" s="330"/>
      <c r="I8" s="329"/>
      <c r="O8" s="319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</row>
    <row r="9" spans="1:29" x14ac:dyDescent="0.25">
      <c r="A9" s="324" t="s">
        <v>256</v>
      </c>
      <c r="B9" s="336"/>
      <c r="C9" s="330"/>
      <c r="D9" s="329"/>
      <c r="E9" s="329"/>
      <c r="F9" s="340"/>
      <c r="G9" s="336"/>
      <c r="H9" s="330"/>
      <c r="I9" s="329"/>
      <c r="O9" s="319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</row>
    <row r="10" spans="1:29" x14ac:dyDescent="0.25">
      <c r="A10" s="324" t="s">
        <v>257</v>
      </c>
      <c r="B10" s="336"/>
      <c r="C10" s="330"/>
      <c r="D10" s="329"/>
      <c r="E10" s="329"/>
      <c r="F10" s="340"/>
      <c r="G10" s="336"/>
      <c r="H10" s="330"/>
      <c r="I10" s="329"/>
      <c r="O10" s="319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</row>
    <row r="11" spans="1:29" x14ac:dyDescent="0.25">
      <c r="A11" s="324" t="s">
        <v>258</v>
      </c>
      <c r="B11" s="336"/>
      <c r="C11" s="330"/>
      <c r="D11" s="329"/>
      <c r="E11" s="329"/>
      <c r="F11" s="340"/>
      <c r="G11" s="336"/>
      <c r="H11" s="330"/>
      <c r="I11" s="329"/>
      <c r="O11" s="319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</row>
    <row r="12" spans="1:29" x14ac:dyDescent="0.25">
      <c r="A12" s="324" t="s">
        <v>259</v>
      </c>
      <c r="B12" s="336"/>
      <c r="C12" s="330"/>
      <c r="D12" s="329"/>
      <c r="E12" s="329"/>
      <c r="F12" s="340"/>
      <c r="G12" s="336"/>
      <c r="H12" s="330"/>
      <c r="I12" s="329"/>
      <c r="O12" s="319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</row>
    <row r="13" spans="1:29" x14ac:dyDescent="0.25">
      <c r="A13" s="324" t="s">
        <v>260</v>
      </c>
      <c r="B13" s="336"/>
      <c r="C13" s="330"/>
      <c r="D13" s="329"/>
      <c r="E13" s="329"/>
      <c r="F13" s="340"/>
      <c r="G13" s="336"/>
      <c r="H13" s="330"/>
      <c r="I13" s="329"/>
      <c r="O13" s="319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</row>
    <row r="14" spans="1:29" x14ac:dyDescent="0.25">
      <c r="A14" s="324" t="s">
        <v>261</v>
      </c>
      <c r="B14" s="336"/>
      <c r="C14" s="330"/>
      <c r="D14" s="329"/>
      <c r="E14" s="329"/>
      <c r="F14" s="340"/>
      <c r="G14" s="336"/>
      <c r="H14" s="330"/>
      <c r="I14" s="329"/>
      <c r="O14" s="319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</row>
    <row r="15" spans="1:29" x14ac:dyDescent="0.25">
      <c r="A15" s="324" t="s">
        <v>262</v>
      </c>
      <c r="B15" s="336"/>
      <c r="C15" s="330"/>
      <c r="D15" s="329"/>
      <c r="E15" s="329"/>
      <c r="F15" s="340"/>
      <c r="G15" s="336"/>
      <c r="H15" s="330"/>
      <c r="I15" s="329"/>
      <c r="O15" s="319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</row>
    <row r="16" spans="1:29" x14ac:dyDescent="0.25">
      <c r="A16" s="324" t="s">
        <v>263</v>
      </c>
      <c r="B16" s="336"/>
      <c r="C16" s="330"/>
      <c r="D16" s="329"/>
      <c r="E16" s="329"/>
      <c r="F16" s="340"/>
      <c r="G16" s="336"/>
      <c r="H16" s="330"/>
      <c r="I16" s="329"/>
      <c r="O16" s="319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</row>
    <row r="17" spans="1:29" x14ac:dyDescent="0.25">
      <c r="A17" s="324" t="s">
        <v>264</v>
      </c>
      <c r="B17" s="336"/>
      <c r="C17" s="330"/>
      <c r="D17" s="329"/>
      <c r="E17" s="329"/>
      <c r="F17" s="340"/>
      <c r="G17" s="336"/>
      <c r="H17" s="330"/>
      <c r="I17" s="329"/>
      <c r="O17" s="319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</row>
    <row r="18" spans="1:29" x14ac:dyDescent="0.25">
      <c r="A18" s="324" t="s">
        <v>265</v>
      </c>
      <c r="B18" s="336"/>
      <c r="C18" s="330"/>
      <c r="D18" s="329"/>
      <c r="E18" s="329"/>
      <c r="F18" s="340"/>
      <c r="G18" s="336"/>
      <c r="H18" s="330"/>
      <c r="I18" s="329"/>
      <c r="O18" s="319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</row>
    <row r="19" spans="1:29" x14ac:dyDescent="0.25">
      <c r="A19" s="324" t="s">
        <v>266</v>
      </c>
      <c r="B19" s="336"/>
      <c r="C19" s="330"/>
      <c r="D19" s="329"/>
      <c r="E19" s="329"/>
      <c r="F19" s="340"/>
      <c r="G19" s="336"/>
      <c r="H19" s="330"/>
      <c r="I19" s="329"/>
      <c r="O19" s="319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</row>
    <row r="20" spans="1:29" x14ac:dyDescent="0.25">
      <c r="A20" s="324" t="s">
        <v>267</v>
      </c>
      <c r="B20" s="336"/>
      <c r="C20" s="330"/>
      <c r="D20" s="329"/>
      <c r="E20" s="329"/>
      <c r="F20" s="340"/>
      <c r="G20" s="336"/>
      <c r="H20" s="330"/>
      <c r="I20" s="329"/>
      <c r="O20" s="319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</row>
    <row r="21" spans="1:29" x14ac:dyDescent="0.25">
      <c r="A21" s="324" t="s">
        <v>268</v>
      </c>
      <c r="B21" s="336"/>
      <c r="C21" s="330"/>
      <c r="D21" s="329"/>
      <c r="E21" s="329"/>
      <c r="F21" s="340"/>
      <c r="G21" s="336"/>
      <c r="H21" s="330"/>
      <c r="I21" s="329"/>
      <c r="O21" s="319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</row>
    <row r="22" spans="1:29" x14ac:dyDescent="0.25">
      <c r="A22" s="324" t="s">
        <v>269</v>
      </c>
      <c r="B22" s="336"/>
      <c r="C22" s="330"/>
      <c r="D22" s="329"/>
      <c r="E22" s="329"/>
      <c r="F22" s="340"/>
      <c r="G22" s="336"/>
      <c r="H22" s="330"/>
      <c r="I22" s="329"/>
      <c r="O22" s="319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</row>
    <row r="23" spans="1:29" x14ac:dyDescent="0.25">
      <c r="A23" s="324" t="s">
        <v>270</v>
      </c>
      <c r="B23" s="336"/>
      <c r="C23" s="330"/>
      <c r="D23" s="329"/>
      <c r="E23" s="329"/>
      <c r="F23" s="340"/>
      <c r="G23" s="336"/>
      <c r="H23" s="330"/>
      <c r="I23" s="329"/>
      <c r="O23" s="319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</row>
    <row r="24" spans="1:29" x14ac:dyDescent="0.25">
      <c r="A24" s="324" t="s">
        <v>271</v>
      </c>
      <c r="B24" s="336"/>
      <c r="C24" s="330"/>
      <c r="D24" s="329"/>
      <c r="E24" s="329"/>
      <c r="F24" s="340"/>
      <c r="G24" s="336"/>
      <c r="H24" s="330"/>
      <c r="I24" s="329"/>
      <c r="O24" s="319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</row>
    <row r="25" spans="1:29" x14ac:dyDescent="0.25">
      <c r="A25" s="324" t="s">
        <v>272</v>
      </c>
      <c r="B25" s="336"/>
      <c r="C25" s="330"/>
      <c r="D25" s="329"/>
      <c r="E25" s="329"/>
      <c r="F25" s="340"/>
      <c r="G25" s="336"/>
      <c r="H25" s="330"/>
      <c r="I25" s="329"/>
      <c r="O25" s="319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</row>
    <row r="26" spans="1:29" x14ac:dyDescent="0.25">
      <c r="A26" s="324" t="s">
        <v>273</v>
      </c>
      <c r="B26" s="336"/>
      <c r="C26" s="330"/>
      <c r="D26" s="329"/>
      <c r="E26" s="329"/>
      <c r="F26" s="340"/>
      <c r="G26" s="336"/>
      <c r="H26" s="330"/>
      <c r="I26" s="329"/>
      <c r="O26" s="319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</row>
    <row r="27" spans="1:29" x14ac:dyDescent="0.25">
      <c r="A27" s="324" t="s">
        <v>274</v>
      </c>
      <c r="B27" s="336"/>
      <c r="C27" s="330"/>
      <c r="D27" s="329"/>
      <c r="E27" s="329"/>
      <c r="F27" s="340"/>
      <c r="G27" s="336"/>
      <c r="H27" s="330"/>
      <c r="I27" s="329"/>
      <c r="O27" s="319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</row>
    <row r="28" spans="1:29" x14ac:dyDescent="0.25">
      <c r="A28" s="324" t="s">
        <v>275</v>
      </c>
      <c r="B28" s="336"/>
      <c r="C28" s="330"/>
      <c r="D28" s="329"/>
      <c r="E28" s="329"/>
      <c r="F28" s="340"/>
      <c r="G28" s="336"/>
      <c r="H28" s="330"/>
      <c r="I28" s="329"/>
      <c r="O28" s="319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</row>
    <row r="29" spans="1:29" x14ac:dyDescent="0.25">
      <c r="A29" s="324" t="s">
        <v>276</v>
      </c>
      <c r="B29" s="336"/>
      <c r="C29" s="330"/>
      <c r="D29" s="329"/>
      <c r="E29" s="329"/>
      <c r="F29" s="340"/>
      <c r="G29" s="336"/>
      <c r="H29" s="330"/>
      <c r="I29" s="329"/>
      <c r="O29" s="319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</row>
    <row r="30" spans="1:29" x14ac:dyDescent="0.25">
      <c r="A30" s="324" t="s">
        <v>277</v>
      </c>
      <c r="B30" s="336"/>
      <c r="C30" s="330"/>
      <c r="D30" s="329"/>
      <c r="E30" s="329"/>
      <c r="F30" s="340"/>
      <c r="G30" s="336"/>
      <c r="H30" s="330"/>
      <c r="I30" s="329"/>
      <c r="O30" s="319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</row>
    <row r="31" spans="1:29" x14ac:dyDescent="0.25">
      <c r="A31" s="324" t="s">
        <v>278</v>
      </c>
      <c r="B31" s="336"/>
      <c r="C31" s="330"/>
      <c r="D31" s="329"/>
      <c r="E31" s="329"/>
      <c r="F31" s="340"/>
      <c r="G31" s="336"/>
      <c r="H31" s="330"/>
      <c r="I31" s="329"/>
      <c r="O31" s="319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</row>
    <row r="32" spans="1:29" x14ac:dyDescent="0.25">
      <c r="A32" s="324" t="s">
        <v>279</v>
      </c>
      <c r="B32" s="336"/>
      <c r="C32" s="330"/>
      <c r="D32" s="329"/>
      <c r="E32" s="329"/>
      <c r="F32" s="340"/>
      <c r="G32" s="336"/>
      <c r="H32" s="330"/>
      <c r="I32" s="329"/>
      <c r="O32" s="319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</row>
    <row r="33" spans="1:29" x14ac:dyDescent="0.25">
      <c r="A33" s="324" t="s">
        <v>280</v>
      </c>
      <c r="B33" s="336"/>
      <c r="C33" s="330"/>
      <c r="D33" s="329"/>
      <c r="E33" s="329"/>
      <c r="F33" s="340"/>
      <c r="G33" s="336"/>
      <c r="H33" s="330"/>
      <c r="I33" s="329"/>
      <c r="O33" s="319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</row>
    <row r="34" spans="1:29" ht="15.75" thickBot="1" x14ac:dyDescent="0.3">
      <c r="A34" s="325" t="s">
        <v>281</v>
      </c>
      <c r="B34" s="337"/>
      <c r="C34" s="326"/>
      <c r="D34" s="260"/>
      <c r="E34" s="260"/>
      <c r="F34" s="341"/>
      <c r="G34" s="337"/>
      <c r="H34" s="326"/>
      <c r="I34" s="260"/>
      <c r="O34" s="319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</row>
    <row r="37" spans="1:29" ht="15.75" thickBot="1" x14ac:dyDescent="0.3"/>
    <row r="38" spans="1:29" ht="45.75" thickBot="1" x14ac:dyDescent="0.3">
      <c r="A38" s="312" t="s">
        <v>282</v>
      </c>
      <c r="B38" s="333" t="s">
        <v>245</v>
      </c>
      <c r="C38" s="331" t="s">
        <v>246</v>
      </c>
      <c r="D38" s="313" t="s">
        <v>247</v>
      </c>
      <c r="E38" s="313" t="s">
        <v>248</v>
      </c>
      <c r="F38" s="338" t="s">
        <v>237</v>
      </c>
      <c r="G38" s="333" t="s">
        <v>249</v>
      </c>
      <c r="H38" s="342" t="s">
        <v>246</v>
      </c>
      <c r="I38" s="314" t="s">
        <v>237</v>
      </c>
    </row>
    <row r="39" spans="1:29" x14ac:dyDescent="0.25">
      <c r="A39" s="318" t="s">
        <v>182</v>
      </c>
      <c r="B39" s="334"/>
      <c r="C39" s="332"/>
      <c r="D39" s="328"/>
      <c r="E39" s="328"/>
      <c r="F39" s="339"/>
      <c r="G39" s="343"/>
      <c r="H39" s="332"/>
      <c r="I39" s="328"/>
    </row>
    <row r="40" spans="1:29" x14ac:dyDescent="0.25">
      <c r="A40" s="322" t="s">
        <v>250</v>
      </c>
      <c r="B40" s="335" t="s">
        <v>251</v>
      </c>
      <c r="C40" s="330"/>
      <c r="D40" s="329"/>
      <c r="E40" s="329"/>
      <c r="F40" s="340"/>
      <c r="G40" s="336"/>
      <c r="H40" s="330"/>
      <c r="I40" s="329"/>
    </row>
    <row r="41" spans="1:29" x14ac:dyDescent="0.25">
      <c r="A41" s="324" t="s">
        <v>252</v>
      </c>
      <c r="B41" s="336"/>
      <c r="C41" s="330"/>
      <c r="D41" s="329"/>
      <c r="E41" s="329"/>
      <c r="F41" s="340"/>
      <c r="G41" s="336"/>
      <c r="H41" s="330"/>
      <c r="I41" s="329"/>
    </row>
    <row r="42" spans="1:29" x14ac:dyDescent="0.25">
      <c r="A42" s="324" t="s">
        <v>253</v>
      </c>
      <c r="B42" s="336"/>
      <c r="C42" s="330"/>
      <c r="D42" s="329"/>
      <c r="E42" s="329"/>
      <c r="F42" s="340"/>
      <c r="G42" s="336"/>
      <c r="H42" s="330"/>
      <c r="I42" s="329"/>
    </row>
    <row r="43" spans="1:29" x14ac:dyDescent="0.25">
      <c r="A43" s="324" t="s">
        <v>254</v>
      </c>
      <c r="B43" s="336"/>
      <c r="C43" s="330"/>
      <c r="D43" s="329"/>
      <c r="E43" s="329"/>
      <c r="F43" s="340"/>
      <c r="G43" s="336"/>
      <c r="H43" s="330"/>
      <c r="I43" s="329"/>
    </row>
    <row r="44" spans="1:29" x14ac:dyDescent="0.25">
      <c r="A44" s="324" t="s">
        <v>255</v>
      </c>
      <c r="B44" s="336"/>
      <c r="C44" s="330"/>
      <c r="D44" s="329"/>
      <c r="E44" s="329"/>
      <c r="F44" s="340"/>
      <c r="G44" s="336"/>
      <c r="H44" s="330"/>
      <c r="I44" s="329"/>
    </row>
    <row r="45" spans="1:29" x14ac:dyDescent="0.25">
      <c r="A45" s="324" t="s">
        <v>256</v>
      </c>
      <c r="B45" s="336"/>
      <c r="C45" s="330"/>
      <c r="D45" s="329"/>
      <c r="E45" s="329"/>
      <c r="F45" s="340"/>
      <c r="G45" s="336"/>
      <c r="H45" s="330"/>
      <c r="I45" s="329"/>
    </row>
    <row r="46" spans="1:29" x14ac:dyDescent="0.25">
      <c r="A46" s="324" t="s">
        <v>257</v>
      </c>
      <c r="B46" s="336"/>
      <c r="C46" s="330"/>
      <c r="D46" s="329"/>
      <c r="E46" s="329"/>
      <c r="F46" s="340"/>
      <c r="G46" s="336"/>
      <c r="H46" s="330"/>
      <c r="I46" s="329"/>
    </row>
    <row r="47" spans="1:29" x14ac:dyDescent="0.25">
      <c r="A47" s="324" t="s">
        <v>258</v>
      </c>
      <c r="B47" s="336"/>
      <c r="C47" s="330"/>
      <c r="D47" s="329"/>
      <c r="E47" s="329"/>
      <c r="F47" s="340"/>
      <c r="G47" s="336"/>
      <c r="H47" s="330"/>
      <c r="I47" s="329"/>
    </row>
    <row r="48" spans="1:29" x14ac:dyDescent="0.25">
      <c r="A48" s="324" t="s">
        <v>259</v>
      </c>
      <c r="B48" s="336"/>
      <c r="C48" s="330"/>
      <c r="D48" s="329"/>
      <c r="E48" s="329"/>
      <c r="F48" s="340"/>
      <c r="G48" s="336"/>
      <c r="H48" s="330"/>
      <c r="I48" s="329"/>
    </row>
    <row r="49" spans="1:9" x14ac:dyDescent="0.25">
      <c r="A49" s="324" t="s">
        <v>260</v>
      </c>
      <c r="B49" s="336"/>
      <c r="C49" s="330"/>
      <c r="D49" s="329"/>
      <c r="E49" s="329"/>
      <c r="F49" s="340"/>
      <c r="G49" s="336"/>
      <c r="H49" s="330"/>
      <c r="I49" s="329"/>
    </row>
    <row r="50" spans="1:9" x14ac:dyDescent="0.25">
      <c r="A50" s="324" t="s">
        <v>261</v>
      </c>
      <c r="B50" s="336"/>
      <c r="C50" s="330"/>
      <c r="D50" s="329"/>
      <c r="E50" s="329"/>
      <c r="F50" s="340"/>
      <c r="G50" s="336"/>
      <c r="H50" s="330"/>
      <c r="I50" s="329"/>
    </row>
    <row r="51" spans="1:9" x14ac:dyDescent="0.25">
      <c r="A51" s="324" t="s">
        <v>262</v>
      </c>
      <c r="B51" s="336"/>
      <c r="C51" s="330"/>
      <c r="D51" s="329"/>
      <c r="E51" s="329"/>
      <c r="F51" s="340"/>
      <c r="G51" s="336"/>
      <c r="H51" s="330"/>
      <c r="I51" s="329"/>
    </row>
    <row r="52" spans="1:9" x14ac:dyDescent="0.25">
      <c r="A52" s="324" t="s">
        <v>263</v>
      </c>
      <c r="B52" s="336"/>
      <c r="C52" s="330"/>
      <c r="D52" s="329"/>
      <c r="E52" s="329"/>
      <c r="F52" s="340"/>
      <c r="G52" s="336"/>
      <c r="H52" s="330"/>
      <c r="I52" s="329"/>
    </row>
    <row r="53" spans="1:9" x14ac:dyDescent="0.25">
      <c r="A53" s="324" t="s">
        <v>264</v>
      </c>
      <c r="B53" s="336"/>
      <c r="C53" s="330"/>
      <c r="D53" s="329"/>
      <c r="E53" s="329"/>
      <c r="F53" s="340"/>
      <c r="G53" s="336"/>
      <c r="H53" s="330"/>
      <c r="I53" s="329"/>
    </row>
    <row r="54" spans="1:9" x14ac:dyDescent="0.25">
      <c r="A54" s="324" t="s">
        <v>265</v>
      </c>
      <c r="B54" s="336"/>
      <c r="C54" s="330"/>
      <c r="D54" s="329"/>
      <c r="E54" s="329"/>
      <c r="F54" s="340"/>
      <c r="G54" s="336"/>
      <c r="H54" s="330"/>
      <c r="I54" s="329"/>
    </row>
    <row r="55" spans="1:9" x14ac:dyDescent="0.25">
      <c r="A55" s="324" t="s">
        <v>266</v>
      </c>
      <c r="B55" s="336"/>
      <c r="C55" s="330"/>
      <c r="D55" s="329"/>
      <c r="E55" s="329"/>
      <c r="F55" s="340"/>
      <c r="G55" s="336"/>
      <c r="H55" s="330"/>
      <c r="I55" s="329"/>
    </row>
    <row r="56" spans="1:9" x14ac:dyDescent="0.25">
      <c r="A56" s="324" t="s">
        <v>267</v>
      </c>
      <c r="B56" s="336"/>
      <c r="C56" s="330"/>
      <c r="D56" s="329"/>
      <c r="E56" s="329"/>
      <c r="F56" s="340"/>
      <c r="G56" s="336"/>
      <c r="H56" s="330"/>
      <c r="I56" s="329"/>
    </row>
    <row r="57" spans="1:9" x14ac:dyDescent="0.25">
      <c r="A57" s="324" t="s">
        <v>268</v>
      </c>
      <c r="B57" s="336"/>
      <c r="C57" s="330"/>
      <c r="D57" s="329"/>
      <c r="E57" s="329"/>
      <c r="F57" s="340"/>
      <c r="G57" s="336"/>
      <c r="H57" s="330"/>
      <c r="I57" s="329"/>
    </row>
    <row r="58" spans="1:9" x14ac:dyDescent="0.25">
      <c r="A58" s="324" t="s">
        <v>269</v>
      </c>
      <c r="B58" s="336"/>
      <c r="C58" s="330"/>
      <c r="D58" s="329"/>
      <c r="E58" s="329"/>
      <c r="F58" s="340"/>
      <c r="G58" s="336"/>
      <c r="H58" s="330"/>
      <c r="I58" s="329"/>
    </row>
    <row r="59" spans="1:9" x14ac:dyDescent="0.25">
      <c r="A59" s="324" t="s">
        <v>270</v>
      </c>
      <c r="B59" s="336"/>
      <c r="C59" s="330"/>
      <c r="D59" s="329"/>
      <c r="E59" s="329"/>
      <c r="F59" s="340"/>
      <c r="G59" s="336"/>
      <c r="H59" s="330"/>
      <c r="I59" s="329"/>
    </row>
    <row r="60" spans="1:9" x14ac:dyDescent="0.25">
      <c r="A60" s="324" t="s">
        <v>271</v>
      </c>
      <c r="B60" s="336"/>
      <c r="C60" s="330"/>
      <c r="D60" s="329"/>
      <c r="E60" s="329"/>
      <c r="F60" s="340"/>
      <c r="G60" s="336"/>
      <c r="H60" s="330"/>
      <c r="I60" s="329"/>
    </row>
    <row r="61" spans="1:9" x14ac:dyDescent="0.25">
      <c r="A61" s="324" t="s">
        <v>272</v>
      </c>
      <c r="B61" s="336"/>
      <c r="C61" s="330"/>
      <c r="D61" s="329"/>
      <c r="E61" s="329"/>
      <c r="F61" s="340"/>
      <c r="G61" s="336"/>
      <c r="H61" s="330"/>
      <c r="I61" s="329"/>
    </row>
    <row r="62" spans="1:9" x14ac:dyDescent="0.25">
      <c r="A62" s="324" t="s">
        <v>273</v>
      </c>
      <c r="B62" s="336"/>
      <c r="C62" s="330"/>
      <c r="D62" s="329"/>
      <c r="E62" s="329"/>
      <c r="F62" s="340"/>
      <c r="G62" s="336"/>
      <c r="H62" s="330"/>
      <c r="I62" s="329"/>
    </row>
    <row r="63" spans="1:9" x14ac:dyDescent="0.25">
      <c r="A63" s="324" t="s">
        <v>274</v>
      </c>
      <c r="B63" s="336"/>
      <c r="C63" s="330"/>
      <c r="D63" s="329"/>
      <c r="E63" s="329"/>
      <c r="F63" s="340"/>
      <c r="G63" s="336"/>
      <c r="H63" s="330"/>
      <c r="I63" s="329"/>
    </row>
    <row r="64" spans="1:9" x14ac:dyDescent="0.25">
      <c r="A64" s="324" t="s">
        <v>275</v>
      </c>
      <c r="B64" s="336"/>
      <c r="C64" s="330"/>
      <c r="D64" s="329"/>
      <c r="E64" s="329"/>
      <c r="F64" s="340"/>
      <c r="G64" s="336"/>
      <c r="H64" s="330"/>
      <c r="I64" s="329"/>
    </row>
    <row r="65" spans="1:9" x14ac:dyDescent="0.25">
      <c r="A65" s="324" t="s">
        <v>276</v>
      </c>
      <c r="B65" s="336"/>
      <c r="C65" s="330"/>
      <c r="D65" s="329"/>
      <c r="E65" s="329"/>
      <c r="F65" s="340"/>
      <c r="G65" s="336"/>
      <c r="H65" s="330"/>
      <c r="I65" s="329"/>
    </row>
    <row r="66" spans="1:9" x14ac:dyDescent="0.25">
      <c r="A66" s="324" t="s">
        <v>277</v>
      </c>
      <c r="B66" s="336"/>
      <c r="C66" s="330"/>
      <c r="D66" s="329"/>
      <c r="E66" s="329"/>
      <c r="F66" s="340"/>
      <c r="G66" s="336"/>
      <c r="H66" s="330"/>
      <c r="I66" s="329"/>
    </row>
    <row r="67" spans="1:9" x14ac:dyDescent="0.25">
      <c r="A67" s="324" t="s">
        <v>278</v>
      </c>
      <c r="B67" s="336"/>
      <c r="C67" s="330"/>
      <c r="D67" s="329"/>
      <c r="E67" s="329"/>
      <c r="F67" s="340"/>
      <c r="G67" s="336"/>
      <c r="H67" s="330"/>
      <c r="I67" s="329"/>
    </row>
    <row r="68" spans="1:9" x14ac:dyDescent="0.25">
      <c r="A68" s="324" t="s">
        <v>279</v>
      </c>
      <c r="B68" s="336"/>
      <c r="C68" s="330"/>
      <c r="D68" s="329"/>
      <c r="E68" s="329"/>
      <c r="F68" s="340"/>
      <c r="G68" s="336"/>
      <c r="H68" s="330"/>
      <c r="I68" s="329"/>
    </row>
    <row r="69" spans="1:9" x14ac:dyDescent="0.25">
      <c r="A69" s="324" t="s">
        <v>280</v>
      </c>
      <c r="B69" s="336"/>
      <c r="C69" s="330"/>
      <c r="D69" s="329"/>
      <c r="E69" s="329"/>
      <c r="F69" s="340"/>
      <c r="G69" s="336"/>
      <c r="H69" s="330"/>
      <c r="I69" s="329"/>
    </row>
    <row r="70" spans="1:9" ht="15.75" thickBot="1" x14ac:dyDescent="0.3">
      <c r="A70" s="325" t="s">
        <v>281</v>
      </c>
      <c r="B70" s="337"/>
      <c r="C70" s="326"/>
      <c r="D70" s="260"/>
      <c r="E70" s="260"/>
      <c r="F70" s="341"/>
      <c r="G70" s="337"/>
      <c r="H70" s="326"/>
      <c r="I70" s="260"/>
    </row>
  </sheetData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C70"/>
  <sheetViews>
    <sheetView view="pageBreakPreview" topLeftCell="A52" zoomScale="60" zoomScaleNormal="100" workbookViewId="0">
      <selection activeCell="Q35" sqref="Q35"/>
    </sheetView>
  </sheetViews>
  <sheetFormatPr defaultColWidth="8.85546875" defaultRowHeight="15" x14ac:dyDescent="0.25"/>
  <cols>
    <col min="1" max="1" width="21.42578125" customWidth="1"/>
    <col min="2" max="2" width="14.42578125" customWidth="1"/>
    <col min="3" max="3" width="14.28515625" style="309" customWidth="1"/>
    <col min="4" max="4" width="14.140625" style="309" customWidth="1"/>
    <col min="5" max="5" width="14.85546875" style="309" customWidth="1"/>
    <col min="6" max="6" width="11.85546875" style="309" customWidth="1"/>
    <col min="7" max="7" width="15.85546875" style="309" customWidth="1"/>
    <col min="8" max="8" width="13.42578125" style="309" customWidth="1"/>
    <col min="9" max="28" width="8.42578125" style="309" customWidth="1"/>
  </cols>
  <sheetData>
    <row r="1" spans="1:29" ht="15.75" thickBot="1" x14ac:dyDescent="0.3"/>
    <row r="2" spans="1:29" ht="48.75" customHeight="1" thickBot="1" x14ac:dyDescent="0.3">
      <c r="A2" s="312" t="s">
        <v>244</v>
      </c>
      <c r="B2" s="333" t="s">
        <v>245</v>
      </c>
      <c r="C2" s="331" t="s">
        <v>246</v>
      </c>
      <c r="D2" s="313" t="s">
        <v>247</v>
      </c>
      <c r="E2" s="313" t="s">
        <v>248</v>
      </c>
      <c r="F2" s="338" t="s">
        <v>237</v>
      </c>
      <c r="G2" s="333" t="s">
        <v>249</v>
      </c>
      <c r="H2" s="342" t="s">
        <v>246</v>
      </c>
      <c r="I2" s="314" t="s">
        <v>237</v>
      </c>
      <c r="O2" s="315"/>
      <c r="P2" s="316"/>
      <c r="Q2" s="316"/>
      <c r="R2" s="317"/>
      <c r="S2" s="317"/>
      <c r="T2" s="317"/>
      <c r="U2" s="317"/>
      <c r="V2" s="317"/>
      <c r="W2" s="317"/>
      <c r="X2" s="317"/>
      <c r="Y2" s="316"/>
      <c r="Z2" s="316"/>
      <c r="AA2" s="317"/>
      <c r="AB2" s="317"/>
      <c r="AC2" s="317"/>
    </row>
    <row r="3" spans="1:29" x14ac:dyDescent="0.25">
      <c r="A3" s="318" t="s">
        <v>182</v>
      </c>
      <c r="B3" s="334"/>
      <c r="C3" s="332"/>
      <c r="D3" s="328"/>
      <c r="E3" s="328"/>
      <c r="F3" s="339"/>
      <c r="G3" s="343"/>
      <c r="H3" s="332"/>
      <c r="I3" s="328"/>
      <c r="O3" s="319"/>
      <c r="P3" s="320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</row>
    <row r="4" spans="1:29" x14ac:dyDescent="0.25">
      <c r="A4" s="322" t="s">
        <v>250</v>
      </c>
      <c r="B4" s="335" t="s">
        <v>251</v>
      </c>
      <c r="C4" s="330"/>
      <c r="D4" s="329"/>
      <c r="E4" s="329"/>
      <c r="F4" s="340"/>
      <c r="G4" s="336"/>
      <c r="H4" s="330"/>
      <c r="I4" s="329"/>
      <c r="O4" s="319"/>
      <c r="P4" s="32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</row>
    <row r="5" spans="1:29" ht="15.75" customHeight="1" x14ac:dyDescent="0.25">
      <c r="A5" s="324" t="s">
        <v>252</v>
      </c>
      <c r="B5" s="336"/>
      <c r="C5" s="330"/>
      <c r="D5" s="329"/>
      <c r="E5" s="329"/>
      <c r="F5" s="340"/>
      <c r="G5" s="336"/>
      <c r="H5" s="330"/>
      <c r="I5" s="329"/>
      <c r="O5" s="319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</row>
    <row r="6" spans="1:29" x14ac:dyDescent="0.25">
      <c r="A6" s="324" t="s">
        <v>253</v>
      </c>
      <c r="B6" s="336"/>
      <c r="C6" s="330"/>
      <c r="D6" s="329"/>
      <c r="E6" s="329"/>
      <c r="F6" s="340"/>
      <c r="G6" s="336"/>
      <c r="H6" s="330"/>
      <c r="I6" s="329"/>
      <c r="O6" s="319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</row>
    <row r="7" spans="1:29" x14ac:dyDescent="0.25">
      <c r="A7" s="324" t="s">
        <v>254</v>
      </c>
      <c r="B7" s="336"/>
      <c r="C7" s="330"/>
      <c r="D7" s="329"/>
      <c r="E7" s="329"/>
      <c r="F7" s="340"/>
      <c r="G7" s="336"/>
      <c r="H7" s="330"/>
      <c r="I7" s="329"/>
      <c r="O7" s="319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</row>
    <row r="8" spans="1:29" x14ac:dyDescent="0.25">
      <c r="A8" s="324" t="s">
        <v>255</v>
      </c>
      <c r="B8" s="336"/>
      <c r="C8" s="330"/>
      <c r="D8" s="329"/>
      <c r="E8" s="329"/>
      <c r="F8" s="340"/>
      <c r="G8" s="336"/>
      <c r="H8" s="330"/>
      <c r="I8" s="329"/>
      <c r="O8" s="319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</row>
    <row r="9" spans="1:29" x14ac:dyDescent="0.25">
      <c r="A9" s="324" t="s">
        <v>256</v>
      </c>
      <c r="B9" s="336"/>
      <c r="C9" s="330"/>
      <c r="D9" s="329"/>
      <c r="E9" s="329"/>
      <c r="F9" s="340"/>
      <c r="G9" s="336"/>
      <c r="H9" s="330"/>
      <c r="I9" s="329"/>
      <c r="O9" s="319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</row>
    <row r="10" spans="1:29" x14ac:dyDescent="0.25">
      <c r="A10" s="324" t="s">
        <v>257</v>
      </c>
      <c r="B10" s="336"/>
      <c r="C10" s="330"/>
      <c r="D10" s="329"/>
      <c r="E10" s="329"/>
      <c r="F10" s="340"/>
      <c r="G10" s="336"/>
      <c r="H10" s="330"/>
      <c r="I10" s="329"/>
      <c r="O10" s="319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</row>
    <row r="11" spans="1:29" x14ac:dyDescent="0.25">
      <c r="A11" s="324" t="s">
        <v>258</v>
      </c>
      <c r="B11" s="336"/>
      <c r="C11" s="330"/>
      <c r="D11" s="329"/>
      <c r="E11" s="329"/>
      <c r="F11" s="340"/>
      <c r="G11" s="336"/>
      <c r="H11" s="330"/>
      <c r="I11" s="329"/>
      <c r="O11" s="319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</row>
    <row r="12" spans="1:29" x14ac:dyDescent="0.25">
      <c r="A12" s="324" t="s">
        <v>259</v>
      </c>
      <c r="B12" s="336"/>
      <c r="C12" s="330"/>
      <c r="D12" s="329"/>
      <c r="E12" s="329"/>
      <c r="F12" s="340"/>
      <c r="G12" s="336"/>
      <c r="H12" s="330"/>
      <c r="I12" s="329"/>
      <c r="O12" s="319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</row>
    <row r="13" spans="1:29" x14ac:dyDescent="0.25">
      <c r="A13" s="324" t="s">
        <v>260</v>
      </c>
      <c r="B13" s="336"/>
      <c r="C13" s="330"/>
      <c r="D13" s="329"/>
      <c r="E13" s="329"/>
      <c r="F13" s="340"/>
      <c r="G13" s="336"/>
      <c r="H13" s="330"/>
      <c r="I13" s="329"/>
      <c r="O13" s="319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</row>
    <row r="14" spans="1:29" x14ac:dyDescent="0.25">
      <c r="A14" s="324" t="s">
        <v>261</v>
      </c>
      <c r="B14" s="336"/>
      <c r="C14" s="330"/>
      <c r="D14" s="329"/>
      <c r="E14" s="329"/>
      <c r="F14" s="340"/>
      <c r="G14" s="336"/>
      <c r="H14" s="330"/>
      <c r="I14" s="329"/>
      <c r="O14" s="319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</row>
    <row r="15" spans="1:29" x14ac:dyDescent="0.25">
      <c r="A15" s="324" t="s">
        <v>262</v>
      </c>
      <c r="B15" s="336"/>
      <c r="C15" s="330"/>
      <c r="D15" s="329"/>
      <c r="E15" s="329"/>
      <c r="F15" s="340"/>
      <c r="G15" s="336"/>
      <c r="H15" s="330"/>
      <c r="I15" s="329"/>
      <c r="O15" s="319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</row>
    <row r="16" spans="1:29" x14ac:dyDescent="0.25">
      <c r="A16" s="324" t="s">
        <v>263</v>
      </c>
      <c r="B16" s="336"/>
      <c r="C16" s="330"/>
      <c r="D16" s="329"/>
      <c r="E16" s="329"/>
      <c r="F16" s="340"/>
      <c r="G16" s="336"/>
      <c r="H16" s="330"/>
      <c r="I16" s="329"/>
      <c r="O16" s="319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</row>
    <row r="17" spans="1:29" x14ac:dyDescent="0.25">
      <c r="A17" s="324" t="s">
        <v>264</v>
      </c>
      <c r="B17" s="336"/>
      <c r="C17" s="330"/>
      <c r="D17" s="329"/>
      <c r="E17" s="329"/>
      <c r="F17" s="340"/>
      <c r="G17" s="336"/>
      <c r="H17" s="330"/>
      <c r="I17" s="329"/>
      <c r="O17" s="319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</row>
    <row r="18" spans="1:29" x14ac:dyDescent="0.25">
      <c r="A18" s="324" t="s">
        <v>265</v>
      </c>
      <c r="B18" s="336"/>
      <c r="C18" s="330"/>
      <c r="D18" s="329"/>
      <c r="E18" s="329"/>
      <c r="F18" s="340"/>
      <c r="G18" s="336"/>
      <c r="H18" s="330"/>
      <c r="I18" s="329"/>
      <c r="O18" s="319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</row>
    <row r="19" spans="1:29" x14ac:dyDescent="0.25">
      <c r="A19" s="324" t="s">
        <v>266</v>
      </c>
      <c r="B19" s="336"/>
      <c r="C19" s="330"/>
      <c r="D19" s="329"/>
      <c r="E19" s="329"/>
      <c r="F19" s="340"/>
      <c r="G19" s="336"/>
      <c r="H19" s="330"/>
      <c r="I19" s="329"/>
      <c r="O19" s="319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</row>
    <row r="20" spans="1:29" x14ac:dyDescent="0.25">
      <c r="A20" s="324" t="s">
        <v>267</v>
      </c>
      <c r="B20" s="336"/>
      <c r="C20" s="330"/>
      <c r="D20" s="329"/>
      <c r="E20" s="329"/>
      <c r="F20" s="340"/>
      <c r="G20" s="336"/>
      <c r="H20" s="330"/>
      <c r="I20" s="329"/>
      <c r="O20" s="319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</row>
    <row r="21" spans="1:29" x14ac:dyDescent="0.25">
      <c r="A21" s="324" t="s">
        <v>268</v>
      </c>
      <c r="B21" s="336"/>
      <c r="C21" s="330"/>
      <c r="D21" s="329"/>
      <c r="E21" s="329"/>
      <c r="F21" s="340"/>
      <c r="G21" s="336"/>
      <c r="H21" s="330"/>
      <c r="I21" s="329"/>
      <c r="O21" s="319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</row>
    <row r="22" spans="1:29" x14ac:dyDescent="0.25">
      <c r="A22" s="324" t="s">
        <v>269</v>
      </c>
      <c r="B22" s="336"/>
      <c r="C22" s="330"/>
      <c r="D22" s="329"/>
      <c r="E22" s="329"/>
      <c r="F22" s="340"/>
      <c r="G22" s="336"/>
      <c r="H22" s="330"/>
      <c r="I22" s="329"/>
      <c r="O22" s="319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</row>
    <row r="23" spans="1:29" x14ac:dyDescent="0.25">
      <c r="A23" s="324" t="s">
        <v>270</v>
      </c>
      <c r="B23" s="336"/>
      <c r="C23" s="330"/>
      <c r="D23" s="329"/>
      <c r="E23" s="329"/>
      <c r="F23" s="340"/>
      <c r="G23" s="336"/>
      <c r="H23" s="330"/>
      <c r="I23" s="329"/>
      <c r="O23" s="319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</row>
    <row r="24" spans="1:29" x14ac:dyDescent="0.25">
      <c r="A24" s="324" t="s">
        <v>271</v>
      </c>
      <c r="B24" s="336"/>
      <c r="C24" s="330"/>
      <c r="D24" s="329"/>
      <c r="E24" s="329"/>
      <c r="F24" s="340"/>
      <c r="G24" s="336"/>
      <c r="H24" s="330"/>
      <c r="I24" s="329"/>
      <c r="O24" s="319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</row>
    <row r="25" spans="1:29" x14ac:dyDescent="0.25">
      <c r="A25" s="324" t="s">
        <v>272</v>
      </c>
      <c r="B25" s="336"/>
      <c r="C25" s="330"/>
      <c r="D25" s="329"/>
      <c r="E25" s="329"/>
      <c r="F25" s="340"/>
      <c r="G25" s="336"/>
      <c r="H25" s="330"/>
      <c r="I25" s="329"/>
      <c r="O25" s="319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</row>
    <row r="26" spans="1:29" x14ac:dyDescent="0.25">
      <c r="A26" s="324" t="s">
        <v>273</v>
      </c>
      <c r="B26" s="336"/>
      <c r="C26" s="330"/>
      <c r="D26" s="329"/>
      <c r="E26" s="329"/>
      <c r="F26" s="340"/>
      <c r="G26" s="336"/>
      <c r="H26" s="330"/>
      <c r="I26" s="329"/>
      <c r="O26" s="319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</row>
    <row r="27" spans="1:29" x14ac:dyDescent="0.25">
      <c r="A27" s="324" t="s">
        <v>274</v>
      </c>
      <c r="B27" s="336"/>
      <c r="C27" s="330"/>
      <c r="D27" s="329"/>
      <c r="E27" s="329"/>
      <c r="F27" s="340"/>
      <c r="G27" s="336"/>
      <c r="H27" s="330"/>
      <c r="I27" s="329"/>
      <c r="O27" s="319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</row>
    <row r="28" spans="1:29" x14ac:dyDescent="0.25">
      <c r="A28" s="324" t="s">
        <v>275</v>
      </c>
      <c r="B28" s="336"/>
      <c r="C28" s="330"/>
      <c r="D28" s="329"/>
      <c r="E28" s="329"/>
      <c r="F28" s="340"/>
      <c r="G28" s="336"/>
      <c r="H28" s="330"/>
      <c r="I28" s="329"/>
      <c r="O28" s="319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</row>
    <row r="29" spans="1:29" x14ac:dyDescent="0.25">
      <c r="A29" s="324" t="s">
        <v>276</v>
      </c>
      <c r="B29" s="336"/>
      <c r="C29" s="330"/>
      <c r="D29" s="329"/>
      <c r="E29" s="329"/>
      <c r="F29" s="340"/>
      <c r="G29" s="336"/>
      <c r="H29" s="330"/>
      <c r="I29" s="329"/>
      <c r="O29" s="319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</row>
    <row r="30" spans="1:29" x14ac:dyDescent="0.25">
      <c r="A30" s="324" t="s">
        <v>277</v>
      </c>
      <c r="B30" s="336"/>
      <c r="C30" s="330"/>
      <c r="D30" s="329"/>
      <c r="E30" s="329"/>
      <c r="F30" s="340"/>
      <c r="G30" s="336"/>
      <c r="H30" s="330"/>
      <c r="I30" s="329"/>
      <c r="O30" s="319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</row>
    <row r="31" spans="1:29" x14ac:dyDescent="0.25">
      <c r="A31" s="324" t="s">
        <v>278</v>
      </c>
      <c r="B31" s="336"/>
      <c r="C31" s="330"/>
      <c r="D31" s="329"/>
      <c r="E31" s="329"/>
      <c r="F31" s="340"/>
      <c r="G31" s="336"/>
      <c r="H31" s="330"/>
      <c r="I31" s="329"/>
      <c r="O31" s="319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</row>
    <row r="32" spans="1:29" x14ac:dyDescent="0.25">
      <c r="A32" s="324" t="s">
        <v>279</v>
      </c>
      <c r="B32" s="336"/>
      <c r="C32" s="330"/>
      <c r="D32" s="329"/>
      <c r="E32" s="329"/>
      <c r="F32" s="340"/>
      <c r="G32" s="336"/>
      <c r="H32" s="330"/>
      <c r="I32" s="329"/>
      <c r="O32" s="319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</row>
    <row r="33" spans="1:29" x14ac:dyDescent="0.25">
      <c r="A33" s="324" t="s">
        <v>280</v>
      </c>
      <c r="B33" s="336"/>
      <c r="C33" s="330"/>
      <c r="D33" s="329"/>
      <c r="E33" s="329"/>
      <c r="F33" s="340"/>
      <c r="G33" s="336"/>
      <c r="H33" s="330"/>
      <c r="I33" s="329"/>
      <c r="O33" s="319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</row>
    <row r="34" spans="1:29" ht="15.75" thickBot="1" x14ac:dyDescent="0.3">
      <c r="A34" s="325" t="s">
        <v>281</v>
      </c>
      <c r="B34" s="337"/>
      <c r="C34" s="326"/>
      <c r="D34" s="260"/>
      <c r="E34" s="260"/>
      <c r="F34" s="341"/>
      <c r="G34" s="337"/>
      <c r="H34" s="326"/>
      <c r="I34" s="260"/>
      <c r="O34" s="319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</row>
    <row r="37" spans="1:29" ht="15.75" thickBot="1" x14ac:dyDescent="0.3"/>
    <row r="38" spans="1:29" ht="45.75" thickBot="1" x14ac:dyDescent="0.3">
      <c r="A38" s="312" t="s">
        <v>282</v>
      </c>
      <c r="B38" s="333" t="s">
        <v>245</v>
      </c>
      <c r="C38" s="331" t="s">
        <v>246</v>
      </c>
      <c r="D38" s="313" t="s">
        <v>247</v>
      </c>
      <c r="E38" s="313" t="s">
        <v>248</v>
      </c>
      <c r="F38" s="338" t="s">
        <v>237</v>
      </c>
      <c r="G38" s="333" t="s">
        <v>249</v>
      </c>
      <c r="H38" s="342" t="s">
        <v>246</v>
      </c>
      <c r="I38" s="314" t="s">
        <v>237</v>
      </c>
    </row>
    <row r="39" spans="1:29" x14ac:dyDescent="0.25">
      <c r="A39" s="318" t="s">
        <v>182</v>
      </c>
      <c r="B39" s="334"/>
      <c r="C39" s="332"/>
      <c r="D39" s="328"/>
      <c r="E39" s="328"/>
      <c r="F39" s="339"/>
      <c r="G39" s="343"/>
      <c r="H39" s="332"/>
      <c r="I39" s="328"/>
    </row>
    <row r="40" spans="1:29" x14ac:dyDescent="0.25">
      <c r="A40" s="322" t="s">
        <v>250</v>
      </c>
      <c r="B40" s="335" t="s">
        <v>251</v>
      </c>
      <c r="C40" s="330"/>
      <c r="D40" s="329"/>
      <c r="E40" s="329"/>
      <c r="F40" s="340"/>
      <c r="G40" s="336"/>
      <c r="H40" s="330"/>
      <c r="I40" s="329"/>
    </row>
    <row r="41" spans="1:29" x14ac:dyDescent="0.25">
      <c r="A41" s="324" t="s">
        <v>252</v>
      </c>
      <c r="B41" s="336"/>
      <c r="C41" s="330"/>
      <c r="D41" s="329"/>
      <c r="E41" s="329"/>
      <c r="F41" s="340"/>
      <c r="G41" s="336"/>
      <c r="H41" s="330"/>
      <c r="I41" s="329"/>
    </row>
    <row r="42" spans="1:29" x14ac:dyDescent="0.25">
      <c r="A42" s="324" t="s">
        <v>253</v>
      </c>
      <c r="B42" s="336"/>
      <c r="C42" s="330"/>
      <c r="D42" s="329"/>
      <c r="E42" s="329"/>
      <c r="F42" s="340"/>
      <c r="G42" s="336"/>
      <c r="H42" s="330"/>
      <c r="I42" s="329"/>
    </row>
    <row r="43" spans="1:29" x14ac:dyDescent="0.25">
      <c r="A43" s="324" t="s">
        <v>254</v>
      </c>
      <c r="B43" s="336"/>
      <c r="C43" s="330"/>
      <c r="D43" s="329"/>
      <c r="E43" s="329"/>
      <c r="F43" s="340"/>
      <c r="G43" s="336"/>
      <c r="H43" s="330"/>
      <c r="I43" s="329"/>
    </row>
    <row r="44" spans="1:29" x14ac:dyDescent="0.25">
      <c r="A44" s="324" t="s">
        <v>255</v>
      </c>
      <c r="B44" s="336"/>
      <c r="C44" s="330"/>
      <c r="D44" s="329"/>
      <c r="E44" s="329"/>
      <c r="F44" s="340"/>
      <c r="G44" s="336"/>
      <c r="H44" s="330"/>
      <c r="I44" s="329"/>
    </row>
    <row r="45" spans="1:29" x14ac:dyDescent="0.25">
      <c r="A45" s="324" t="s">
        <v>256</v>
      </c>
      <c r="B45" s="336"/>
      <c r="C45" s="330"/>
      <c r="D45" s="329"/>
      <c r="E45" s="329"/>
      <c r="F45" s="340"/>
      <c r="G45" s="336"/>
      <c r="H45" s="330"/>
      <c r="I45" s="329"/>
    </row>
    <row r="46" spans="1:29" x14ac:dyDescent="0.25">
      <c r="A46" s="324" t="s">
        <v>257</v>
      </c>
      <c r="B46" s="336"/>
      <c r="C46" s="330"/>
      <c r="D46" s="329"/>
      <c r="E46" s="329"/>
      <c r="F46" s="340"/>
      <c r="G46" s="336"/>
      <c r="H46" s="330"/>
      <c r="I46" s="329"/>
    </row>
    <row r="47" spans="1:29" x14ac:dyDescent="0.25">
      <c r="A47" s="324" t="s">
        <v>258</v>
      </c>
      <c r="B47" s="336"/>
      <c r="C47" s="330"/>
      <c r="D47" s="329"/>
      <c r="E47" s="329"/>
      <c r="F47" s="340"/>
      <c r="G47" s="336"/>
      <c r="H47" s="330"/>
      <c r="I47" s="329"/>
    </row>
    <row r="48" spans="1:29" x14ac:dyDescent="0.25">
      <c r="A48" s="324" t="s">
        <v>259</v>
      </c>
      <c r="B48" s="336"/>
      <c r="C48" s="330"/>
      <c r="D48" s="329"/>
      <c r="E48" s="329"/>
      <c r="F48" s="340"/>
      <c r="G48" s="336"/>
      <c r="H48" s="330"/>
      <c r="I48" s="329"/>
    </row>
    <row r="49" spans="1:9" x14ac:dyDescent="0.25">
      <c r="A49" s="324" t="s">
        <v>260</v>
      </c>
      <c r="B49" s="336"/>
      <c r="C49" s="330"/>
      <c r="D49" s="329"/>
      <c r="E49" s="329"/>
      <c r="F49" s="340"/>
      <c r="G49" s="336"/>
      <c r="H49" s="330"/>
      <c r="I49" s="329"/>
    </row>
    <row r="50" spans="1:9" x14ac:dyDescent="0.25">
      <c r="A50" s="324" t="s">
        <v>261</v>
      </c>
      <c r="B50" s="336"/>
      <c r="C50" s="330"/>
      <c r="D50" s="329"/>
      <c r="E50" s="329"/>
      <c r="F50" s="340"/>
      <c r="G50" s="336"/>
      <c r="H50" s="330"/>
      <c r="I50" s="329"/>
    </row>
    <row r="51" spans="1:9" x14ac:dyDescent="0.25">
      <c r="A51" s="324" t="s">
        <v>262</v>
      </c>
      <c r="B51" s="336"/>
      <c r="C51" s="330"/>
      <c r="D51" s="329"/>
      <c r="E51" s="329"/>
      <c r="F51" s="340"/>
      <c r="G51" s="336"/>
      <c r="H51" s="330"/>
      <c r="I51" s="329"/>
    </row>
    <row r="52" spans="1:9" x14ac:dyDescent="0.25">
      <c r="A52" s="324" t="s">
        <v>263</v>
      </c>
      <c r="B52" s="336"/>
      <c r="C52" s="330"/>
      <c r="D52" s="329"/>
      <c r="E52" s="329"/>
      <c r="F52" s="340"/>
      <c r="G52" s="336"/>
      <c r="H52" s="330"/>
      <c r="I52" s="329"/>
    </row>
    <row r="53" spans="1:9" x14ac:dyDescent="0.25">
      <c r="A53" s="324" t="s">
        <v>264</v>
      </c>
      <c r="B53" s="336"/>
      <c r="C53" s="330"/>
      <c r="D53" s="329"/>
      <c r="E53" s="329"/>
      <c r="F53" s="340"/>
      <c r="G53" s="336"/>
      <c r="H53" s="330"/>
      <c r="I53" s="329"/>
    </row>
    <row r="54" spans="1:9" x14ac:dyDescent="0.25">
      <c r="A54" s="324" t="s">
        <v>265</v>
      </c>
      <c r="B54" s="336"/>
      <c r="C54" s="330"/>
      <c r="D54" s="329"/>
      <c r="E54" s="329"/>
      <c r="F54" s="340"/>
      <c r="G54" s="336"/>
      <c r="H54" s="330"/>
      <c r="I54" s="329"/>
    </row>
    <row r="55" spans="1:9" x14ac:dyDescent="0.25">
      <c r="A55" s="324" t="s">
        <v>266</v>
      </c>
      <c r="B55" s="336"/>
      <c r="C55" s="330"/>
      <c r="D55" s="329"/>
      <c r="E55" s="329"/>
      <c r="F55" s="340"/>
      <c r="G55" s="336"/>
      <c r="H55" s="330"/>
      <c r="I55" s="329"/>
    </row>
    <row r="56" spans="1:9" x14ac:dyDescent="0.25">
      <c r="A56" s="324" t="s">
        <v>267</v>
      </c>
      <c r="B56" s="336"/>
      <c r="C56" s="330"/>
      <c r="D56" s="329"/>
      <c r="E56" s="329"/>
      <c r="F56" s="340"/>
      <c r="G56" s="336"/>
      <c r="H56" s="330"/>
      <c r="I56" s="329"/>
    </row>
    <row r="57" spans="1:9" x14ac:dyDescent="0.25">
      <c r="A57" s="324" t="s">
        <v>268</v>
      </c>
      <c r="B57" s="336"/>
      <c r="C57" s="330"/>
      <c r="D57" s="329"/>
      <c r="E57" s="329"/>
      <c r="F57" s="340"/>
      <c r="G57" s="336"/>
      <c r="H57" s="330"/>
      <c r="I57" s="329"/>
    </row>
    <row r="58" spans="1:9" x14ac:dyDescent="0.25">
      <c r="A58" s="324" t="s">
        <v>269</v>
      </c>
      <c r="B58" s="336"/>
      <c r="C58" s="330"/>
      <c r="D58" s="329"/>
      <c r="E58" s="329"/>
      <c r="F58" s="340"/>
      <c r="G58" s="336"/>
      <c r="H58" s="330"/>
      <c r="I58" s="329"/>
    </row>
    <row r="59" spans="1:9" x14ac:dyDescent="0.25">
      <c r="A59" s="324" t="s">
        <v>270</v>
      </c>
      <c r="B59" s="336"/>
      <c r="C59" s="330"/>
      <c r="D59" s="329"/>
      <c r="E59" s="329"/>
      <c r="F59" s="340"/>
      <c r="G59" s="336"/>
      <c r="H59" s="330"/>
      <c r="I59" s="329"/>
    </row>
    <row r="60" spans="1:9" x14ac:dyDescent="0.25">
      <c r="A60" s="324" t="s">
        <v>271</v>
      </c>
      <c r="B60" s="336"/>
      <c r="C60" s="330"/>
      <c r="D60" s="329"/>
      <c r="E60" s="329"/>
      <c r="F60" s="340"/>
      <c r="G60" s="336"/>
      <c r="H60" s="330"/>
      <c r="I60" s="329"/>
    </row>
    <row r="61" spans="1:9" x14ac:dyDescent="0.25">
      <c r="A61" s="324" t="s">
        <v>272</v>
      </c>
      <c r="B61" s="336"/>
      <c r="C61" s="330"/>
      <c r="D61" s="329"/>
      <c r="E61" s="329"/>
      <c r="F61" s="340"/>
      <c r="G61" s="336"/>
      <c r="H61" s="330"/>
      <c r="I61" s="329"/>
    </row>
    <row r="62" spans="1:9" x14ac:dyDescent="0.25">
      <c r="A62" s="324" t="s">
        <v>273</v>
      </c>
      <c r="B62" s="336"/>
      <c r="C62" s="330"/>
      <c r="D62" s="329"/>
      <c r="E62" s="329"/>
      <c r="F62" s="340"/>
      <c r="G62" s="336"/>
      <c r="H62" s="330"/>
      <c r="I62" s="329"/>
    </row>
    <row r="63" spans="1:9" x14ac:dyDescent="0.25">
      <c r="A63" s="324" t="s">
        <v>274</v>
      </c>
      <c r="B63" s="336"/>
      <c r="C63" s="330"/>
      <c r="D63" s="329"/>
      <c r="E63" s="329"/>
      <c r="F63" s="340"/>
      <c r="G63" s="336"/>
      <c r="H63" s="330"/>
      <c r="I63" s="329"/>
    </row>
    <row r="64" spans="1:9" x14ac:dyDescent="0.25">
      <c r="A64" s="324" t="s">
        <v>275</v>
      </c>
      <c r="B64" s="336"/>
      <c r="C64" s="330"/>
      <c r="D64" s="329"/>
      <c r="E64" s="329"/>
      <c r="F64" s="340"/>
      <c r="G64" s="336"/>
      <c r="H64" s="330"/>
      <c r="I64" s="329"/>
    </row>
    <row r="65" spans="1:9" x14ac:dyDescent="0.25">
      <c r="A65" s="324" t="s">
        <v>276</v>
      </c>
      <c r="B65" s="336"/>
      <c r="C65" s="330"/>
      <c r="D65" s="329"/>
      <c r="E65" s="329"/>
      <c r="F65" s="340"/>
      <c r="G65" s="336"/>
      <c r="H65" s="330"/>
      <c r="I65" s="329"/>
    </row>
    <row r="66" spans="1:9" x14ac:dyDescent="0.25">
      <c r="A66" s="324" t="s">
        <v>277</v>
      </c>
      <c r="B66" s="336"/>
      <c r="C66" s="330"/>
      <c r="D66" s="329"/>
      <c r="E66" s="329"/>
      <c r="F66" s="340"/>
      <c r="G66" s="336"/>
      <c r="H66" s="330"/>
      <c r="I66" s="329"/>
    </row>
    <row r="67" spans="1:9" x14ac:dyDescent="0.25">
      <c r="A67" s="324" t="s">
        <v>278</v>
      </c>
      <c r="B67" s="336"/>
      <c r="C67" s="330"/>
      <c r="D67" s="329"/>
      <c r="E67" s="329"/>
      <c r="F67" s="340"/>
      <c r="G67" s="336"/>
      <c r="H67" s="330"/>
      <c r="I67" s="329"/>
    </row>
    <row r="68" spans="1:9" x14ac:dyDescent="0.25">
      <c r="A68" s="324" t="s">
        <v>279</v>
      </c>
      <c r="B68" s="336"/>
      <c r="C68" s="330"/>
      <c r="D68" s="329"/>
      <c r="E68" s="329"/>
      <c r="F68" s="340"/>
      <c r="G68" s="336"/>
      <c r="H68" s="330"/>
      <c r="I68" s="329"/>
    </row>
    <row r="69" spans="1:9" x14ac:dyDescent="0.25">
      <c r="A69" s="324" t="s">
        <v>280</v>
      </c>
      <c r="B69" s="336"/>
      <c r="C69" s="330"/>
      <c r="D69" s="329"/>
      <c r="E69" s="329"/>
      <c r="F69" s="340"/>
      <c r="G69" s="336"/>
      <c r="H69" s="330"/>
      <c r="I69" s="329"/>
    </row>
    <row r="70" spans="1:9" ht="15.75" thickBot="1" x14ac:dyDescent="0.3">
      <c r="A70" s="325" t="s">
        <v>281</v>
      </c>
      <c r="B70" s="337"/>
      <c r="C70" s="326"/>
      <c r="D70" s="260"/>
      <c r="E70" s="260"/>
      <c r="F70" s="341"/>
      <c r="G70" s="337"/>
      <c r="H70" s="326"/>
      <c r="I70" s="260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I138"/>
  <sheetViews>
    <sheetView tabSelected="1" view="pageBreakPreview" topLeftCell="A46" zoomScale="60" zoomScaleNormal="80" workbookViewId="0">
      <selection activeCell="S53" sqref="S53"/>
    </sheetView>
  </sheetViews>
  <sheetFormatPr defaultColWidth="8.85546875" defaultRowHeight="15" x14ac:dyDescent="0.25"/>
  <cols>
    <col min="1" max="1" width="26" customWidth="1"/>
    <col min="2" max="2" width="11.42578125" customWidth="1"/>
    <col min="4" max="4" width="20.85546875" customWidth="1"/>
    <col min="6" max="8" width="12.42578125" bestFit="1" customWidth="1"/>
    <col min="9" max="9" width="13.140625" bestFit="1" customWidth="1"/>
  </cols>
  <sheetData>
    <row r="1" spans="1:9" ht="15.75" thickBot="1" x14ac:dyDescent="0.3"/>
    <row r="2" spans="1:9" x14ac:dyDescent="0.25">
      <c r="A2" s="799" t="str">
        <f>'Parametre - Agendové IS'!G1</f>
        <v>Modul 1</v>
      </c>
      <c r="B2" s="800"/>
      <c r="C2" s="801"/>
      <c r="D2" s="805" t="s">
        <v>109</v>
      </c>
      <c r="E2" s="806"/>
      <c r="F2" s="372" t="s">
        <v>177</v>
      </c>
      <c r="G2" s="372" t="s">
        <v>178</v>
      </c>
      <c r="H2" s="372" t="s">
        <v>179</v>
      </c>
      <c r="I2" s="372" t="s">
        <v>181</v>
      </c>
    </row>
    <row r="3" spans="1:9" ht="15.75" thickBot="1" x14ac:dyDescent="0.3">
      <c r="A3" s="802"/>
      <c r="B3" s="803"/>
      <c r="C3" s="804"/>
      <c r="D3" s="599" t="s">
        <v>384</v>
      </c>
      <c r="E3" s="600" t="s">
        <v>180</v>
      </c>
      <c r="F3" s="193" t="s">
        <v>180</v>
      </c>
      <c r="G3" s="193" t="s">
        <v>180</v>
      </c>
      <c r="H3" s="193" t="s">
        <v>180</v>
      </c>
      <c r="I3" s="193" t="s">
        <v>180</v>
      </c>
    </row>
    <row r="4" spans="1:9" ht="15" customHeight="1" x14ac:dyDescent="0.25">
      <c r="A4" s="793" t="s">
        <v>43</v>
      </c>
      <c r="B4" s="796" t="s">
        <v>198</v>
      </c>
      <c r="C4" s="194" t="s">
        <v>25</v>
      </c>
      <c r="D4" s="601" t="str">
        <f>IF(E4='Parametre - Agendové IS'!H87,"OK","Chyba počtu FTE")</f>
        <v>OK</v>
      </c>
      <c r="E4" s="602">
        <f t="shared" ref="E4:E33" si="0">F4+G4+H4+I4</f>
        <v>0</v>
      </c>
      <c r="F4" s="259"/>
      <c r="G4" s="259"/>
      <c r="H4" s="259"/>
      <c r="I4" s="259"/>
    </row>
    <row r="5" spans="1:9" x14ac:dyDescent="0.25">
      <c r="A5" s="794"/>
      <c r="B5" s="797"/>
      <c r="C5" s="191" t="s">
        <v>26</v>
      </c>
      <c r="D5" s="603" t="str">
        <f>IF(E5='Parametre - Agendové IS'!H88,"OK","Chyba počtu FTE")</f>
        <v>OK</v>
      </c>
      <c r="E5" s="604">
        <f t="shared" si="0"/>
        <v>0</v>
      </c>
      <c r="F5" s="260"/>
      <c r="G5" s="260"/>
      <c r="H5" s="260"/>
      <c r="I5" s="260"/>
    </row>
    <row r="6" spans="1:9" x14ac:dyDescent="0.25">
      <c r="A6" s="794"/>
      <c r="B6" s="797"/>
      <c r="C6" s="191" t="s">
        <v>27</v>
      </c>
      <c r="D6" s="603" t="str">
        <f>IF(E6='Parametre - Agendové IS'!H89,"OK","Chyba počtu FTE")</f>
        <v>OK</v>
      </c>
      <c r="E6" s="604">
        <f t="shared" si="0"/>
        <v>0</v>
      </c>
      <c r="F6" s="260"/>
      <c r="G6" s="260"/>
      <c r="H6" s="260"/>
      <c r="I6" s="260"/>
    </row>
    <row r="7" spans="1:9" x14ac:dyDescent="0.25">
      <c r="A7" s="794"/>
      <c r="B7" s="797"/>
      <c r="C7" s="191" t="s">
        <v>28</v>
      </c>
      <c r="D7" s="603" t="str">
        <f>IF(E7='Parametre - Agendové IS'!H90,"OK","Chyba počtu FTE")</f>
        <v>OK</v>
      </c>
      <c r="E7" s="604">
        <f t="shared" si="0"/>
        <v>0</v>
      </c>
      <c r="F7" s="260"/>
      <c r="G7" s="260"/>
      <c r="H7" s="260"/>
      <c r="I7" s="260"/>
    </row>
    <row r="8" spans="1:9" x14ac:dyDescent="0.25">
      <c r="A8" s="794"/>
      <c r="B8" s="797"/>
      <c r="C8" s="191" t="s">
        <v>29</v>
      </c>
      <c r="D8" s="603" t="str">
        <f>IF(E8='Parametre - Agendové IS'!H91,"OK","Chyba počtu FTE")</f>
        <v>OK</v>
      </c>
      <c r="E8" s="604">
        <f t="shared" si="0"/>
        <v>0</v>
      </c>
      <c r="F8" s="260"/>
      <c r="G8" s="260"/>
      <c r="H8" s="260"/>
      <c r="I8" s="260"/>
    </row>
    <row r="9" spans="1:9" x14ac:dyDescent="0.25">
      <c r="A9" s="794"/>
      <c r="B9" s="797"/>
      <c r="C9" s="191" t="s">
        <v>30</v>
      </c>
      <c r="D9" s="603" t="str">
        <f>IF(E9='Parametre - Agendové IS'!H92,"OK","Chyba počtu FTE")</f>
        <v>OK</v>
      </c>
      <c r="E9" s="604">
        <f t="shared" si="0"/>
        <v>0</v>
      </c>
      <c r="F9" s="260"/>
      <c r="G9" s="260"/>
      <c r="H9" s="260"/>
      <c r="I9" s="260"/>
    </row>
    <row r="10" spans="1:9" x14ac:dyDescent="0.25">
      <c r="A10" s="794"/>
      <c r="B10" s="797"/>
      <c r="C10" s="191" t="s">
        <v>31</v>
      </c>
      <c r="D10" s="603" t="str">
        <f>IF(E10='Parametre - Agendové IS'!H93,"OK","Chyba počtu FTE")</f>
        <v>OK</v>
      </c>
      <c r="E10" s="604">
        <f t="shared" si="0"/>
        <v>0</v>
      </c>
      <c r="F10" s="260"/>
      <c r="G10" s="260"/>
      <c r="H10" s="260"/>
      <c r="I10" s="260"/>
    </row>
    <row r="11" spans="1:9" x14ac:dyDescent="0.25">
      <c r="A11" s="794"/>
      <c r="B11" s="797"/>
      <c r="C11" s="191" t="s">
        <v>32</v>
      </c>
      <c r="D11" s="603" t="str">
        <f>IF(E11='Parametre - Agendové IS'!H94,"OK","Chyba počtu FTE")</f>
        <v>OK</v>
      </c>
      <c r="E11" s="604">
        <f t="shared" si="0"/>
        <v>0</v>
      </c>
      <c r="F11" s="260"/>
      <c r="G11" s="260"/>
      <c r="H11" s="260"/>
      <c r="I11" s="260"/>
    </row>
    <row r="12" spans="1:9" x14ac:dyDescent="0.25">
      <c r="A12" s="794"/>
      <c r="B12" s="797"/>
      <c r="C12" s="191" t="s">
        <v>33</v>
      </c>
      <c r="D12" s="603" t="str">
        <f>IF(E12='Parametre - Agendové IS'!H95,"OK","Chyba počtu FTE")</f>
        <v>OK</v>
      </c>
      <c r="E12" s="604">
        <f t="shared" si="0"/>
        <v>0</v>
      </c>
      <c r="F12" s="260"/>
      <c r="G12" s="260"/>
      <c r="H12" s="260"/>
      <c r="I12" s="260"/>
    </row>
    <row r="13" spans="1:9" ht="15.75" thickBot="1" x14ac:dyDescent="0.3">
      <c r="A13" s="794"/>
      <c r="B13" s="797"/>
      <c r="C13" s="191" t="s">
        <v>34</v>
      </c>
      <c r="D13" s="605" t="str">
        <f>IF(E13='Parametre - Agendové IS'!H96,"OK","Chyba počtu FTE")</f>
        <v>OK</v>
      </c>
      <c r="E13" s="606">
        <f t="shared" si="0"/>
        <v>0</v>
      </c>
      <c r="F13" s="261"/>
      <c r="G13" s="261"/>
      <c r="H13" s="261"/>
      <c r="I13" s="261"/>
    </row>
    <row r="14" spans="1:9" ht="15" customHeight="1" x14ac:dyDescent="0.25">
      <c r="A14" s="793" t="s">
        <v>41</v>
      </c>
      <c r="B14" s="796" t="s">
        <v>37</v>
      </c>
      <c r="C14" s="194" t="s">
        <v>25</v>
      </c>
      <c r="D14" s="602" t="str">
        <f>IF(E14='Parametre - Agendové IS'!H6,"OK","Chyba počtu podaní")</f>
        <v>Chyba počtu podaní</v>
      </c>
      <c r="E14" s="607">
        <f t="shared" si="0"/>
        <v>0</v>
      </c>
      <c r="F14" s="259"/>
      <c r="G14" s="259"/>
      <c r="H14" s="259"/>
      <c r="I14" s="259"/>
    </row>
    <row r="15" spans="1:9" x14ac:dyDescent="0.25">
      <c r="A15" s="794"/>
      <c r="B15" s="797"/>
      <c r="C15" s="191" t="s">
        <v>26</v>
      </c>
      <c r="D15" s="603" t="str">
        <f>IF(E15='Parametre - Agendové IS'!H7,"OK","Chyba počtu podaní")</f>
        <v>Chyba počtu podaní</v>
      </c>
      <c r="E15" s="604">
        <f t="shared" si="0"/>
        <v>0</v>
      </c>
      <c r="F15" s="260"/>
      <c r="G15" s="260"/>
      <c r="H15" s="260"/>
      <c r="I15" s="260"/>
    </row>
    <row r="16" spans="1:9" x14ac:dyDescent="0.25">
      <c r="A16" s="794"/>
      <c r="B16" s="797"/>
      <c r="C16" s="191" t="s">
        <v>27</v>
      </c>
      <c r="D16" s="603" t="str">
        <f>IF(E16='Parametre - Agendové IS'!H8,"OK","Chyba počtu podaní")</f>
        <v>Chyba počtu podaní</v>
      </c>
      <c r="E16" s="604">
        <f t="shared" si="0"/>
        <v>0</v>
      </c>
      <c r="F16" s="260"/>
      <c r="G16" s="260"/>
      <c r="H16" s="260"/>
      <c r="I16" s="260"/>
    </row>
    <row r="17" spans="1:9" x14ac:dyDescent="0.25">
      <c r="A17" s="794"/>
      <c r="B17" s="797"/>
      <c r="C17" s="191" t="s">
        <v>28</v>
      </c>
      <c r="D17" s="603" t="str">
        <f>IF(E17='Parametre - Agendové IS'!H9,"OK","Chyba počtu podaní")</f>
        <v>Chyba počtu podaní</v>
      </c>
      <c r="E17" s="604">
        <f t="shared" si="0"/>
        <v>0</v>
      </c>
      <c r="F17" s="260"/>
      <c r="G17" s="260"/>
      <c r="H17" s="260"/>
      <c r="I17" s="260"/>
    </row>
    <row r="18" spans="1:9" x14ac:dyDescent="0.25">
      <c r="A18" s="794"/>
      <c r="B18" s="797"/>
      <c r="C18" s="191" t="s">
        <v>29</v>
      </c>
      <c r="D18" s="603" t="str">
        <f>IF(E18='Parametre - Agendové IS'!H10,"OK","Chyba počtu podaní")</f>
        <v>Chyba počtu podaní</v>
      </c>
      <c r="E18" s="604">
        <f t="shared" si="0"/>
        <v>0</v>
      </c>
      <c r="F18" s="260"/>
      <c r="G18" s="260"/>
      <c r="H18" s="260"/>
      <c r="I18" s="260"/>
    </row>
    <row r="19" spans="1:9" x14ac:dyDescent="0.25">
      <c r="A19" s="794"/>
      <c r="B19" s="797"/>
      <c r="C19" s="191" t="s">
        <v>30</v>
      </c>
      <c r="D19" s="603" t="str">
        <f>IF(E19='Parametre - Agendové IS'!H11,"OK","Chyba počtu podaní")</f>
        <v>Chyba počtu podaní</v>
      </c>
      <c r="E19" s="604">
        <f t="shared" si="0"/>
        <v>0</v>
      </c>
      <c r="F19" s="260"/>
      <c r="G19" s="260"/>
      <c r="H19" s="260"/>
      <c r="I19" s="260"/>
    </row>
    <row r="20" spans="1:9" x14ac:dyDescent="0.25">
      <c r="A20" s="794"/>
      <c r="B20" s="797"/>
      <c r="C20" s="191" t="s">
        <v>31</v>
      </c>
      <c r="D20" s="603" t="str">
        <f>IF(E20='Parametre - Agendové IS'!H12,"OK","Chyba počtu podaní")</f>
        <v>Chyba počtu podaní</v>
      </c>
      <c r="E20" s="604">
        <f t="shared" si="0"/>
        <v>0</v>
      </c>
      <c r="F20" s="260"/>
      <c r="G20" s="260"/>
      <c r="H20" s="260"/>
      <c r="I20" s="260"/>
    </row>
    <row r="21" spans="1:9" x14ac:dyDescent="0.25">
      <c r="A21" s="794"/>
      <c r="B21" s="797"/>
      <c r="C21" s="191" t="s">
        <v>32</v>
      </c>
      <c r="D21" s="603" t="str">
        <f>IF(E21='Parametre - Agendové IS'!H13,"OK","Chyba počtu podaní")</f>
        <v>Chyba počtu podaní</v>
      </c>
      <c r="E21" s="604">
        <f t="shared" si="0"/>
        <v>0</v>
      </c>
      <c r="F21" s="260"/>
      <c r="G21" s="260"/>
      <c r="H21" s="260"/>
      <c r="I21" s="260"/>
    </row>
    <row r="22" spans="1:9" x14ac:dyDescent="0.25">
      <c r="A22" s="794"/>
      <c r="B22" s="797"/>
      <c r="C22" s="191" t="s">
        <v>33</v>
      </c>
      <c r="D22" s="603" t="str">
        <f>IF(E22='Parametre - Agendové IS'!H14,"OK","Chyba počtu podaní")</f>
        <v>Chyba počtu podaní</v>
      </c>
      <c r="E22" s="604">
        <f t="shared" si="0"/>
        <v>0</v>
      </c>
      <c r="F22" s="260"/>
      <c r="G22" s="260"/>
      <c r="H22" s="260"/>
      <c r="I22" s="260"/>
    </row>
    <row r="23" spans="1:9" ht="15.75" thickBot="1" x14ac:dyDescent="0.3">
      <c r="A23" s="795"/>
      <c r="B23" s="798"/>
      <c r="C23" s="192" t="s">
        <v>34</v>
      </c>
      <c r="D23" s="603" t="str">
        <f>IF(E23='Parametre - Agendové IS'!H15,"OK","Chyba počtu podaní")</f>
        <v>Chyba počtu podaní</v>
      </c>
      <c r="E23" s="604">
        <f t="shared" si="0"/>
        <v>0</v>
      </c>
      <c r="F23" s="260"/>
      <c r="G23" s="260"/>
      <c r="H23" s="260"/>
      <c r="I23" s="260"/>
    </row>
    <row r="24" spans="1:9" x14ac:dyDescent="0.25">
      <c r="A24" s="793" t="s">
        <v>39</v>
      </c>
      <c r="B24" s="796" t="s">
        <v>13</v>
      </c>
      <c r="C24" s="194" t="s">
        <v>25</v>
      </c>
      <c r="D24" s="602" t="str">
        <f>IF(E24='Parametre - Agendové IS'!H127,"OK","Chyba")</f>
        <v>OK</v>
      </c>
      <c r="E24" s="607">
        <f t="shared" si="0"/>
        <v>0</v>
      </c>
      <c r="F24" s="259"/>
      <c r="G24" s="259"/>
      <c r="H24" s="259"/>
      <c r="I24" s="259"/>
    </row>
    <row r="25" spans="1:9" x14ac:dyDescent="0.25">
      <c r="A25" s="794"/>
      <c r="B25" s="797"/>
      <c r="C25" s="191" t="s">
        <v>26</v>
      </c>
      <c r="D25" s="603" t="str">
        <f>IF(E25='Parametre - Agendové IS'!H128,"OK","Chyba")</f>
        <v>OK</v>
      </c>
      <c r="E25" s="604">
        <f t="shared" si="0"/>
        <v>0</v>
      </c>
      <c r="F25" s="260"/>
      <c r="G25" s="260"/>
      <c r="H25" s="260"/>
      <c r="I25" s="260"/>
    </row>
    <row r="26" spans="1:9" x14ac:dyDescent="0.25">
      <c r="A26" s="794"/>
      <c r="B26" s="797"/>
      <c r="C26" s="191" t="s">
        <v>27</v>
      </c>
      <c r="D26" s="603" t="str">
        <f>IF(E26='Parametre - Agendové IS'!H129,"OK","Chyba")</f>
        <v>OK</v>
      </c>
      <c r="E26" s="604">
        <f t="shared" si="0"/>
        <v>0</v>
      </c>
      <c r="F26" s="260"/>
      <c r="G26" s="260"/>
      <c r="H26" s="260"/>
      <c r="I26" s="260"/>
    </row>
    <row r="27" spans="1:9" x14ac:dyDescent="0.25">
      <c r="A27" s="794"/>
      <c r="B27" s="797"/>
      <c r="C27" s="191" t="s">
        <v>28</v>
      </c>
      <c r="D27" s="603" t="str">
        <f>IF(E27='Parametre - Agendové IS'!H130,"OK","Chyba")</f>
        <v>OK</v>
      </c>
      <c r="E27" s="604">
        <f t="shared" si="0"/>
        <v>0</v>
      </c>
      <c r="F27" s="260"/>
      <c r="G27" s="260"/>
      <c r="H27" s="260"/>
      <c r="I27" s="260"/>
    </row>
    <row r="28" spans="1:9" x14ac:dyDescent="0.25">
      <c r="A28" s="794"/>
      <c r="B28" s="797"/>
      <c r="C28" s="191" t="s">
        <v>29</v>
      </c>
      <c r="D28" s="603" t="str">
        <f>IF(E28='Parametre - Agendové IS'!H131,"OK","Chyba")</f>
        <v>OK</v>
      </c>
      <c r="E28" s="604">
        <f t="shared" si="0"/>
        <v>0</v>
      </c>
      <c r="F28" s="260"/>
      <c r="G28" s="260"/>
      <c r="H28" s="260"/>
      <c r="I28" s="260"/>
    </row>
    <row r="29" spans="1:9" x14ac:dyDescent="0.25">
      <c r="A29" s="794"/>
      <c r="B29" s="797"/>
      <c r="C29" s="191" t="s">
        <v>30</v>
      </c>
      <c r="D29" s="603" t="str">
        <f>IF(E29='Parametre - Agendové IS'!H132,"OK","Chyba")</f>
        <v>OK</v>
      </c>
      <c r="E29" s="604">
        <f t="shared" si="0"/>
        <v>0</v>
      </c>
      <c r="F29" s="260"/>
      <c r="G29" s="260"/>
      <c r="H29" s="260"/>
      <c r="I29" s="260"/>
    </row>
    <row r="30" spans="1:9" x14ac:dyDescent="0.25">
      <c r="A30" s="794"/>
      <c r="B30" s="797"/>
      <c r="C30" s="191" t="s">
        <v>31</v>
      </c>
      <c r="D30" s="603" t="str">
        <f>IF(E30='Parametre - Agendové IS'!H133,"OK","Chyba")</f>
        <v>OK</v>
      </c>
      <c r="E30" s="604">
        <f t="shared" si="0"/>
        <v>0</v>
      </c>
      <c r="F30" s="260"/>
      <c r="G30" s="260"/>
      <c r="H30" s="260"/>
      <c r="I30" s="260"/>
    </row>
    <row r="31" spans="1:9" x14ac:dyDescent="0.25">
      <c r="A31" s="794"/>
      <c r="B31" s="797"/>
      <c r="C31" s="191" t="s">
        <v>32</v>
      </c>
      <c r="D31" s="603" t="str">
        <f>IF(E31='Parametre - Agendové IS'!H134,"OK","Chyba")</f>
        <v>OK</v>
      </c>
      <c r="E31" s="604">
        <f t="shared" si="0"/>
        <v>0</v>
      </c>
      <c r="F31" s="260"/>
      <c r="G31" s="260"/>
      <c r="H31" s="260"/>
      <c r="I31" s="260"/>
    </row>
    <row r="32" spans="1:9" x14ac:dyDescent="0.25">
      <c r="A32" s="794"/>
      <c r="B32" s="797"/>
      <c r="C32" s="191" t="s">
        <v>33</v>
      </c>
      <c r="D32" s="603" t="str">
        <f>IF(E32='Parametre - Agendové IS'!H135,"OK","Chyba")</f>
        <v>OK</v>
      </c>
      <c r="E32" s="604">
        <f t="shared" si="0"/>
        <v>0</v>
      </c>
      <c r="F32" s="260"/>
      <c r="G32" s="260"/>
      <c r="H32" s="260"/>
      <c r="I32" s="260"/>
    </row>
    <row r="33" spans="1:9" ht="15.75" thickBot="1" x14ac:dyDescent="0.3">
      <c r="A33" s="795"/>
      <c r="B33" s="798"/>
      <c r="C33" s="192" t="s">
        <v>34</v>
      </c>
      <c r="D33" s="603" t="str">
        <f>IF(E33='Parametre - Agendové IS'!H136,"OK","Chyba")</f>
        <v>OK</v>
      </c>
      <c r="E33" s="604">
        <f t="shared" si="0"/>
        <v>0</v>
      </c>
      <c r="F33" s="260"/>
      <c r="G33" s="260"/>
      <c r="H33" s="260"/>
      <c r="I33" s="260"/>
    </row>
    <row r="34" spans="1:9" x14ac:dyDescent="0.25">
      <c r="A34" s="188"/>
      <c r="B34" s="189"/>
      <c r="E34" s="190"/>
    </row>
    <row r="35" spans="1:9" x14ac:dyDescent="0.25">
      <c r="A35" s="188"/>
      <c r="B35" s="189"/>
      <c r="E35" s="190"/>
    </row>
    <row r="36" spans="1:9" ht="15.75" thickBot="1" x14ac:dyDescent="0.3">
      <c r="A36" s="188"/>
      <c r="B36" s="189"/>
      <c r="E36" s="190"/>
    </row>
    <row r="37" spans="1:9" x14ac:dyDescent="0.25">
      <c r="A37" s="799" t="str">
        <f>'Parametre - Agendové IS'!J1</f>
        <v>Modul 2</v>
      </c>
      <c r="B37" s="800"/>
      <c r="C37" s="801"/>
      <c r="D37" s="805" t="s">
        <v>109</v>
      </c>
      <c r="E37" s="806"/>
      <c r="F37" s="372" t="s">
        <v>177</v>
      </c>
      <c r="G37" s="372" t="s">
        <v>178</v>
      </c>
      <c r="H37" s="372" t="s">
        <v>179</v>
      </c>
      <c r="I37" s="372" t="s">
        <v>181</v>
      </c>
    </row>
    <row r="38" spans="1:9" ht="15.75" thickBot="1" x14ac:dyDescent="0.3">
      <c r="A38" s="802"/>
      <c r="B38" s="803"/>
      <c r="C38" s="804"/>
      <c r="D38" s="599" t="s">
        <v>384</v>
      </c>
      <c r="E38" s="600" t="s">
        <v>180</v>
      </c>
      <c r="F38" s="193" t="s">
        <v>180</v>
      </c>
      <c r="G38" s="193" t="s">
        <v>180</v>
      </c>
      <c r="H38" s="193" t="s">
        <v>180</v>
      </c>
      <c r="I38" s="193" t="s">
        <v>180</v>
      </c>
    </row>
    <row r="39" spans="1:9" x14ac:dyDescent="0.25">
      <c r="A39" s="793" t="s">
        <v>43</v>
      </c>
      <c r="B39" s="796" t="s">
        <v>198</v>
      </c>
      <c r="C39" s="194" t="s">
        <v>25</v>
      </c>
      <c r="D39" s="601" t="str">
        <f>IF(E39='Parametre - Agendové IS'!K87,"OK","Chyba počtu FTE")</f>
        <v>OK</v>
      </c>
      <c r="E39" s="602">
        <f t="shared" ref="E39:E68" si="1">F39+G39+H39+I39</f>
        <v>0</v>
      </c>
      <c r="F39" s="259"/>
      <c r="G39" s="259"/>
      <c r="H39" s="259"/>
      <c r="I39" s="259"/>
    </row>
    <row r="40" spans="1:9" x14ac:dyDescent="0.25">
      <c r="A40" s="794"/>
      <c r="B40" s="797"/>
      <c r="C40" s="191" t="s">
        <v>26</v>
      </c>
      <c r="D40" s="603" t="str">
        <f>IF(E40='Parametre - Agendové IS'!K88,"OK","Chyba počtu FTE")</f>
        <v>OK</v>
      </c>
      <c r="E40" s="604">
        <f t="shared" si="1"/>
        <v>0</v>
      </c>
      <c r="F40" s="260"/>
      <c r="G40" s="260"/>
      <c r="H40" s="260"/>
      <c r="I40" s="260"/>
    </row>
    <row r="41" spans="1:9" x14ac:dyDescent="0.25">
      <c r="A41" s="794"/>
      <c r="B41" s="797"/>
      <c r="C41" s="191" t="s">
        <v>27</v>
      </c>
      <c r="D41" s="603" t="str">
        <f>IF(E41='Parametre - Agendové IS'!K89,"OK","Chyba počtu FTE")</f>
        <v>OK</v>
      </c>
      <c r="E41" s="604">
        <f t="shared" si="1"/>
        <v>0</v>
      </c>
      <c r="F41" s="260"/>
      <c r="G41" s="260"/>
      <c r="H41" s="260"/>
      <c r="I41" s="260"/>
    </row>
    <row r="42" spans="1:9" x14ac:dyDescent="0.25">
      <c r="A42" s="794"/>
      <c r="B42" s="797"/>
      <c r="C42" s="191" t="s">
        <v>28</v>
      </c>
      <c r="D42" s="603" t="str">
        <f>IF(E42='Parametre - Agendové IS'!K90,"OK","Chyba počtu FTE")</f>
        <v>OK</v>
      </c>
      <c r="E42" s="604">
        <f t="shared" si="1"/>
        <v>0</v>
      </c>
      <c r="F42" s="260"/>
      <c r="G42" s="260"/>
      <c r="H42" s="260"/>
      <c r="I42" s="260"/>
    </row>
    <row r="43" spans="1:9" x14ac:dyDescent="0.25">
      <c r="A43" s="794"/>
      <c r="B43" s="797"/>
      <c r="C43" s="191" t="s">
        <v>29</v>
      </c>
      <c r="D43" s="603" t="str">
        <f>IF(E43='Parametre - Agendové IS'!K91,"OK","Chyba počtu FTE")</f>
        <v>OK</v>
      </c>
      <c r="E43" s="604">
        <f t="shared" si="1"/>
        <v>0</v>
      </c>
      <c r="F43" s="260"/>
      <c r="G43" s="260"/>
      <c r="H43" s="260"/>
      <c r="I43" s="260"/>
    </row>
    <row r="44" spans="1:9" ht="15" customHeight="1" x14ac:dyDescent="0.25">
      <c r="A44" s="794"/>
      <c r="B44" s="797"/>
      <c r="C44" s="191" t="s">
        <v>30</v>
      </c>
      <c r="D44" s="603" t="str">
        <f>IF(E44='Parametre - Agendové IS'!K92,"OK","Chyba počtu FTE")</f>
        <v>OK</v>
      </c>
      <c r="E44" s="604">
        <f t="shared" si="1"/>
        <v>0</v>
      </c>
      <c r="F44" s="260"/>
      <c r="G44" s="260"/>
      <c r="H44" s="260"/>
      <c r="I44" s="260"/>
    </row>
    <row r="45" spans="1:9" x14ac:dyDescent="0.25">
      <c r="A45" s="794"/>
      <c r="B45" s="797"/>
      <c r="C45" s="191" t="s">
        <v>31</v>
      </c>
      <c r="D45" s="603" t="str">
        <f>IF(E45='Parametre - Agendové IS'!K93,"OK","Chyba počtu FTE")</f>
        <v>OK</v>
      </c>
      <c r="E45" s="604">
        <f t="shared" si="1"/>
        <v>0</v>
      </c>
      <c r="F45" s="260"/>
      <c r="G45" s="260"/>
      <c r="H45" s="260"/>
      <c r="I45" s="260"/>
    </row>
    <row r="46" spans="1:9" x14ac:dyDescent="0.25">
      <c r="A46" s="794"/>
      <c r="B46" s="797"/>
      <c r="C46" s="191" t="s">
        <v>32</v>
      </c>
      <c r="D46" s="603" t="str">
        <f>IF(E46='Parametre - Agendové IS'!K94,"OK","Chyba počtu FTE")</f>
        <v>OK</v>
      </c>
      <c r="E46" s="604">
        <f t="shared" si="1"/>
        <v>0</v>
      </c>
      <c r="F46" s="260"/>
      <c r="G46" s="260"/>
      <c r="H46" s="260"/>
      <c r="I46" s="260"/>
    </row>
    <row r="47" spans="1:9" x14ac:dyDescent="0.25">
      <c r="A47" s="794"/>
      <c r="B47" s="797"/>
      <c r="C47" s="191" t="s">
        <v>33</v>
      </c>
      <c r="D47" s="603" t="str">
        <f>IF(E47='Parametre - Agendové IS'!K95,"OK","Chyba počtu FTE")</f>
        <v>OK</v>
      </c>
      <c r="E47" s="604">
        <f t="shared" si="1"/>
        <v>0</v>
      </c>
      <c r="F47" s="260"/>
      <c r="G47" s="260"/>
      <c r="H47" s="260"/>
      <c r="I47" s="260"/>
    </row>
    <row r="48" spans="1:9" ht="15.75" thickBot="1" x14ac:dyDescent="0.3">
      <c r="A48" s="794"/>
      <c r="B48" s="797"/>
      <c r="C48" s="191" t="s">
        <v>34</v>
      </c>
      <c r="D48" s="605" t="str">
        <f>IF(E48='Parametre - Agendové IS'!K96,"OK","Chyba počtu FTE")</f>
        <v>OK</v>
      </c>
      <c r="E48" s="606">
        <f t="shared" si="1"/>
        <v>0</v>
      </c>
      <c r="F48" s="261"/>
      <c r="G48" s="261"/>
      <c r="H48" s="261"/>
      <c r="I48" s="261"/>
    </row>
    <row r="49" spans="1:9" x14ac:dyDescent="0.25">
      <c r="A49" s="793" t="s">
        <v>41</v>
      </c>
      <c r="B49" s="796" t="s">
        <v>37</v>
      </c>
      <c r="C49" s="194" t="s">
        <v>25</v>
      </c>
      <c r="D49" s="602" t="str">
        <f>IF(E49='Parametre - Agendové IS'!K6,"OK","Chyba počtu podaní")</f>
        <v>Chyba počtu podaní</v>
      </c>
      <c r="E49" s="607">
        <f t="shared" si="1"/>
        <v>0</v>
      </c>
      <c r="F49" s="259"/>
      <c r="G49" s="259"/>
      <c r="H49" s="259"/>
      <c r="I49" s="259"/>
    </row>
    <row r="50" spans="1:9" x14ac:dyDescent="0.25">
      <c r="A50" s="794"/>
      <c r="B50" s="797"/>
      <c r="C50" s="191" t="s">
        <v>26</v>
      </c>
      <c r="D50" s="603" t="str">
        <f>IF(E50='Parametre - Agendové IS'!K7,"OK","Chyba počtu podaní")</f>
        <v>Chyba počtu podaní</v>
      </c>
      <c r="E50" s="604">
        <f t="shared" si="1"/>
        <v>0</v>
      </c>
      <c r="F50" s="260"/>
      <c r="G50" s="260"/>
      <c r="H50" s="260"/>
      <c r="I50" s="260"/>
    </row>
    <row r="51" spans="1:9" x14ac:dyDescent="0.25">
      <c r="A51" s="794"/>
      <c r="B51" s="797"/>
      <c r="C51" s="191" t="s">
        <v>27</v>
      </c>
      <c r="D51" s="603" t="str">
        <f>IF(E51='Parametre - Agendové IS'!K8,"OK","Chyba počtu podaní")</f>
        <v>Chyba počtu podaní</v>
      </c>
      <c r="E51" s="604">
        <f t="shared" si="1"/>
        <v>0</v>
      </c>
      <c r="F51" s="260"/>
      <c r="G51" s="260"/>
      <c r="H51" s="260"/>
      <c r="I51" s="260"/>
    </row>
    <row r="52" spans="1:9" x14ac:dyDescent="0.25">
      <c r="A52" s="794"/>
      <c r="B52" s="797"/>
      <c r="C52" s="191" t="s">
        <v>28</v>
      </c>
      <c r="D52" s="603" t="str">
        <f>IF(E52='Parametre - Agendové IS'!K9,"OK","Chyba počtu podaní")</f>
        <v>Chyba počtu podaní</v>
      </c>
      <c r="E52" s="604">
        <f t="shared" si="1"/>
        <v>0</v>
      </c>
      <c r="F52" s="260"/>
      <c r="G52" s="260"/>
      <c r="H52" s="260"/>
      <c r="I52" s="260"/>
    </row>
    <row r="53" spans="1:9" x14ac:dyDescent="0.25">
      <c r="A53" s="794"/>
      <c r="B53" s="797"/>
      <c r="C53" s="191" t="s">
        <v>29</v>
      </c>
      <c r="D53" s="603" t="str">
        <f>IF(E53='Parametre - Agendové IS'!K10,"OK","Chyba počtu podaní")</f>
        <v>Chyba počtu podaní</v>
      </c>
      <c r="E53" s="604">
        <f t="shared" si="1"/>
        <v>0</v>
      </c>
      <c r="F53" s="260"/>
      <c r="G53" s="260"/>
      <c r="H53" s="260"/>
      <c r="I53" s="260"/>
    </row>
    <row r="54" spans="1:9" x14ac:dyDescent="0.25">
      <c r="A54" s="794"/>
      <c r="B54" s="797"/>
      <c r="C54" s="191" t="s">
        <v>30</v>
      </c>
      <c r="D54" s="603" t="str">
        <f>IF(E54='Parametre - Agendové IS'!K11,"OK","Chyba počtu podaní")</f>
        <v>Chyba počtu podaní</v>
      </c>
      <c r="E54" s="604">
        <f t="shared" si="1"/>
        <v>0</v>
      </c>
      <c r="F54" s="260"/>
      <c r="G54" s="260"/>
      <c r="H54" s="260"/>
      <c r="I54" s="260"/>
    </row>
    <row r="55" spans="1:9" x14ac:dyDescent="0.25">
      <c r="A55" s="794"/>
      <c r="B55" s="797"/>
      <c r="C55" s="191" t="s">
        <v>31</v>
      </c>
      <c r="D55" s="603" t="str">
        <f>IF(E55='Parametre - Agendové IS'!K12,"OK","Chyba počtu podaní")</f>
        <v>Chyba počtu podaní</v>
      </c>
      <c r="E55" s="604">
        <f t="shared" si="1"/>
        <v>0</v>
      </c>
      <c r="F55" s="260"/>
      <c r="G55" s="260"/>
      <c r="H55" s="260"/>
      <c r="I55" s="260"/>
    </row>
    <row r="56" spans="1:9" x14ac:dyDescent="0.25">
      <c r="A56" s="794"/>
      <c r="B56" s="797"/>
      <c r="C56" s="191" t="s">
        <v>32</v>
      </c>
      <c r="D56" s="603" t="str">
        <f>IF(E56='Parametre - Agendové IS'!K13,"OK","Chyba počtu podaní")</f>
        <v>Chyba počtu podaní</v>
      </c>
      <c r="E56" s="604">
        <f t="shared" si="1"/>
        <v>0</v>
      </c>
      <c r="F56" s="260"/>
      <c r="G56" s="260"/>
      <c r="H56" s="260"/>
      <c r="I56" s="260"/>
    </row>
    <row r="57" spans="1:9" x14ac:dyDescent="0.25">
      <c r="A57" s="794"/>
      <c r="B57" s="797"/>
      <c r="C57" s="191" t="s">
        <v>33</v>
      </c>
      <c r="D57" s="603" t="str">
        <f>IF(E57='Parametre - Agendové IS'!K14,"OK","Chyba počtu podaní")</f>
        <v>Chyba počtu podaní</v>
      </c>
      <c r="E57" s="604">
        <f t="shared" si="1"/>
        <v>0</v>
      </c>
      <c r="F57" s="260"/>
      <c r="G57" s="260"/>
      <c r="H57" s="260"/>
      <c r="I57" s="260"/>
    </row>
    <row r="58" spans="1:9" ht="15.75" thickBot="1" x14ac:dyDescent="0.3">
      <c r="A58" s="795"/>
      <c r="B58" s="798"/>
      <c r="C58" s="192" t="s">
        <v>34</v>
      </c>
      <c r="D58" s="603" t="str">
        <f>IF(E58='Parametre - Agendové IS'!K15,"OK","Chyba počtu podaní")</f>
        <v>Chyba počtu podaní</v>
      </c>
      <c r="E58" s="604">
        <f t="shared" si="1"/>
        <v>0</v>
      </c>
      <c r="F58" s="260"/>
      <c r="G58" s="260"/>
      <c r="H58" s="260"/>
      <c r="I58" s="260"/>
    </row>
    <row r="59" spans="1:9" x14ac:dyDescent="0.25">
      <c r="A59" s="793" t="s">
        <v>39</v>
      </c>
      <c r="B59" s="796" t="s">
        <v>13</v>
      </c>
      <c r="C59" s="194" t="s">
        <v>25</v>
      </c>
      <c r="D59" s="602" t="str">
        <f>IF(E59='Parametre - Agendové IS'!K127,"OK","Chyba")</f>
        <v>OK</v>
      </c>
      <c r="E59" s="607">
        <f t="shared" si="1"/>
        <v>0</v>
      </c>
      <c r="F59" s="259"/>
      <c r="G59" s="259"/>
      <c r="H59" s="259"/>
      <c r="I59" s="259"/>
    </row>
    <row r="60" spans="1:9" x14ac:dyDescent="0.25">
      <c r="A60" s="794"/>
      <c r="B60" s="797"/>
      <c r="C60" s="191" t="s">
        <v>26</v>
      </c>
      <c r="D60" s="603" t="str">
        <f>IF(E60='Parametre - Agendové IS'!K128,"OK","Chyba")</f>
        <v>OK</v>
      </c>
      <c r="E60" s="604">
        <f t="shared" si="1"/>
        <v>0</v>
      </c>
      <c r="F60" s="260"/>
      <c r="G60" s="260"/>
      <c r="H60" s="260"/>
      <c r="I60" s="260"/>
    </row>
    <row r="61" spans="1:9" x14ac:dyDescent="0.25">
      <c r="A61" s="794"/>
      <c r="B61" s="797"/>
      <c r="C61" s="191" t="s">
        <v>27</v>
      </c>
      <c r="D61" s="603" t="str">
        <f>IF(E61='Parametre - Agendové IS'!K129,"OK","Chyba")</f>
        <v>OK</v>
      </c>
      <c r="E61" s="604">
        <f t="shared" si="1"/>
        <v>0</v>
      </c>
      <c r="F61" s="260"/>
      <c r="G61" s="260"/>
      <c r="H61" s="260"/>
      <c r="I61" s="260"/>
    </row>
    <row r="62" spans="1:9" x14ac:dyDescent="0.25">
      <c r="A62" s="794"/>
      <c r="B62" s="797"/>
      <c r="C62" s="191" t="s">
        <v>28</v>
      </c>
      <c r="D62" s="603" t="str">
        <f>IF(E62='Parametre - Agendové IS'!K130,"OK","Chyba")</f>
        <v>OK</v>
      </c>
      <c r="E62" s="604">
        <f t="shared" si="1"/>
        <v>0</v>
      </c>
      <c r="F62" s="260"/>
      <c r="G62" s="260"/>
      <c r="H62" s="260"/>
      <c r="I62" s="260"/>
    </row>
    <row r="63" spans="1:9" x14ac:dyDescent="0.25">
      <c r="A63" s="794"/>
      <c r="B63" s="797"/>
      <c r="C63" s="191" t="s">
        <v>29</v>
      </c>
      <c r="D63" s="603" t="str">
        <f>IF(E63='Parametre - Agendové IS'!K131,"OK","Chyba")</f>
        <v>OK</v>
      </c>
      <c r="E63" s="604">
        <f t="shared" si="1"/>
        <v>0</v>
      </c>
      <c r="F63" s="260"/>
      <c r="G63" s="260"/>
      <c r="H63" s="260"/>
      <c r="I63" s="260"/>
    </row>
    <row r="64" spans="1:9" x14ac:dyDescent="0.25">
      <c r="A64" s="794"/>
      <c r="B64" s="797"/>
      <c r="C64" s="191" t="s">
        <v>30</v>
      </c>
      <c r="D64" s="603" t="str">
        <f>IF(E64='Parametre - Agendové IS'!K132,"OK","Chyba")</f>
        <v>OK</v>
      </c>
      <c r="E64" s="604">
        <f t="shared" si="1"/>
        <v>0</v>
      </c>
      <c r="F64" s="260"/>
      <c r="G64" s="260"/>
      <c r="H64" s="260"/>
      <c r="I64" s="260"/>
    </row>
    <row r="65" spans="1:9" x14ac:dyDescent="0.25">
      <c r="A65" s="794"/>
      <c r="B65" s="797"/>
      <c r="C65" s="191" t="s">
        <v>31</v>
      </c>
      <c r="D65" s="603" t="str">
        <f>IF(E65='Parametre - Agendové IS'!K133,"OK","Chyba")</f>
        <v>OK</v>
      </c>
      <c r="E65" s="604">
        <f t="shared" si="1"/>
        <v>0</v>
      </c>
      <c r="F65" s="260"/>
      <c r="G65" s="260"/>
      <c r="H65" s="260"/>
      <c r="I65" s="260"/>
    </row>
    <row r="66" spans="1:9" x14ac:dyDescent="0.25">
      <c r="A66" s="794"/>
      <c r="B66" s="797"/>
      <c r="C66" s="191" t="s">
        <v>32</v>
      </c>
      <c r="D66" s="603" t="str">
        <f>IF(E66='Parametre - Agendové IS'!K134,"OK","Chyba")</f>
        <v>OK</v>
      </c>
      <c r="E66" s="604">
        <f t="shared" si="1"/>
        <v>0</v>
      </c>
      <c r="F66" s="260"/>
      <c r="G66" s="260"/>
      <c r="H66" s="260"/>
      <c r="I66" s="260"/>
    </row>
    <row r="67" spans="1:9" x14ac:dyDescent="0.25">
      <c r="A67" s="794"/>
      <c r="B67" s="797"/>
      <c r="C67" s="191" t="s">
        <v>33</v>
      </c>
      <c r="D67" s="603" t="str">
        <f>IF(E67='Parametre - Agendové IS'!K135,"OK","Chyba")</f>
        <v>OK</v>
      </c>
      <c r="E67" s="604">
        <f t="shared" si="1"/>
        <v>0</v>
      </c>
      <c r="F67" s="260"/>
      <c r="G67" s="260"/>
      <c r="H67" s="260"/>
      <c r="I67" s="260"/>
    </row>
    <row r="68" spans="1:9" ht="15.75" thickBot="1" x14ac:dyDescent="0.3">
      <c r="A68" s="795"/>
      <c r="B68" s="798"/>
      <c r="C68" s="192" t="s">
        <v>34</v>
      </c>
      <c r="D68" s="603" t="str">
        <f>IF(E68='Parametre - Agendové IS'!K136,"OK","Chyba")</f>
        <v>OK</v>
      </c>
      <c r="E68" s="604">
        <f t="shared" si="1"/>
        <v>0</v>
      </c>
      <c r="F68" s="260"/>
      <c r="G68" s="260"/>
      <c r="H68" s="260"/>
      <c r="I68" s="260"/>
    </row>
    <row r="71" spans="1:9" ht="15.75" thickBot="1" x14ac:dyDescent="0.3"/>
    <row r="72" spans="1:9" x14ac:dyDescent="0.25">
      <c r="A72" s="799" t="str">
        <f>'Parametre - Agendové IS'!M1</f>
        <v>Modul 3</v>
      </c>
      <c r="B72" s="800"/>
      <c r="C72" s="801"/>
      <c r="D72" s="805" t="s">
        <v>109</v>
      </c>
      <c r="E72" s="806"/>
      <c r="F72" s="372" t="s">
        <v>177</v>
      </c>
      <c r="G72" s="372" t="s">
        <v>178</v>
      </c>
      <c r="H72" s="372" t="s">
        <v>179</v>
      </c>
      <c r="I72" s="372" t="s">
        <v>181</v>
      </c>
    </row>
    <row r="73" spans="1:9" ht="15.75" thickBot="1" x14ac:dyDescent="0.3">
      <c r="A73" s="802"/>
      <c r="B73" s="803"/>
      <c r="C73" s="804"/>
      <c r="D73" s="599" t="s">
        <v>384</v>
      </c>
      <c r="E73" s="600" t="s">
        <v>180</v>
      </c>
      <c r="F73" s="193" t="s">
        <v>180</v>
      </c>
      <c r="G73" s="193" t="s">
        <v>180</v>
      </c>
      <c r="H73" s="193" t="s">
        <v>180</v>
      </c>
      <c r="I73" s="193" t="s">
        <v>180</v>
      </c>
    </row>
    <row r="74" spans="1:9" x14ac:dyDescent="0.25">
      <c r="A74" s="793" t="s">
        <v>43</v>
      </c>
      <c r="B74" s="796" t="s">
        <v>198</v>
      </c>
      <c r="C74" s="194" t="s">
        <v>25</v>
      </c>
      <c r="D74" s="601" t="str">
        <f>IF(E74='Parametre - Agendové IS'!N87,"OK","Chyba počtu FTE")</f>
        <v>OK</v>
      </c>
      <c r="E74" s="602">
        <f t="shared" ref="E74:E103" si="2">F74+G74+H74+I74</f>
        <v>0</v>
      </c>
      <c r="F74" s="259"/>
      <c r="G74" s="259"/>
      <c r="H74" s="259"/>
      <c r="I74" s="259"/>
    </row>
    <row r="75" spans="1:9" x14ac:dyDescent="0.25">
      <c r="A75" s="794"/>
      <c r="B75" s="797"/>
      <c r="C75" s="191" t="s">
        <v>26</v>
      </c>
      <c r="D75" s="603" t="str">
        <f>IF(E75='Parametre - Agendové IS'!N88,"OK","Chyba počtu FTE")</f>
        <v>OK</v>
      </c>
      <c r="E75" s="604">
        <f t="shared" si="2"/>
        <v>0</v>
      </c>
      <c r="F75" s="260"/>
      <c r="G75" s="260"/>
      <c r="H75" s="260"/>
      <c r="I75" s="260"/>
    </row>
    <row r="76" spans="1:9" x14ac:dyDescent="0.25">
      <c r="A76" s="794"/>
      <c r="B76" s="797"/>
      <c r="C76" s="191" t="s">
        <v>27</v>
      </c>
      <c r="D76" s="603" t="str">
        <f>IF(E76='Parametre - Agendové IS'!N89,"OK","Chyba počtu FTE")</f>
        <v>OK</v>
      </c>
      <c r="E76" s="604">
        <f t="shared" si="2"/>
        <v>0</v>
      </c>
      <c r="F76" s="260"/>
      <c r="G76" s="260"/>
      <c r="H76" s="260"/>
      <c r="I76" s="260"/>
    </row>
    <row r="77" spans="1:9" x14ac:dyDescent="0.25">
      <c r="A77" s="794"/>
      <c r="B77" s="797"/>
      <c r="C77" s="191" t="s">
        <v>28</v>
      </c>
      <c r="D77" s="603" t="str">
        <f>IF(E77='Parametre - Agendové IS'!N90,"OK","Chyba počtu FTE")</f>
        <v>OK</v>
      </c>
      <c r="E77" s="604">
        <f t="shared" si="2"/>
        <v>0</v>
      </c>
      <c r="F77" s="260"/>
      <c r="G77" s="260"/>
      <c r="H77" s="260"/>
      <c r="I77" s="260"/>
    </row>
    <row r="78" spans="1:9" x14ac:dyDescent="0.25">
      <c r="A78" s="794"/>
      <c r="B78" s="797"/>
      <c r="C78" s="191" t="s">
        <v>29</v>
      </c>
      <c r="D78" s="603" t="str">
        <f>IF(E78='Parametre - Agendové IS'!N91,"OK","Chyba počtu FTE")</f>
        <v>OK</v>
      </c>
      <c r="E78" s="604">
        <f t="shared" si="2"/>
        <v>0</v>
      </c>
      <c r="F78" s="260"/>
      <c r="G78" s="260"/>
      <c r="H78" s="260"/>
      <c r="I78" s="260"/>
    </row>
    <row r="79" spans="1:9" x14ac:dyDescent="0.25">
      <c r="A79" s="794"/>
      <c r="B79" s="797"/>
      <c r="C79" s="191" t="s">
        <v>30</v>
      </c>
      <c r="D79" s="603" t="str">
        <f>IF(E79='Parametre - Agendové IS'!N92,"OK","Chyba počtu FTE")</f>
        <v>OK</v>
      </c>
      <c r="E79" s="604">
        <f t="shared" si="2"/>
        <v>0</v>
      </c>
      <c r="F79" s="260"/>
      <c r="G79" s="260"/>
      <c r="H79" s="260"/>
      <c r="I79" s="260"/>
    </row>
    <row r="80" spans="1:9" x14ac:dyDescent="0.25">
      <c r="A80" s="794"/>
      <c r="B80" s="797"/>
      <c r="C80" s="191" t="s">
        <v>31</v>
      </c>
      <c r="D80" s="603" t="str">
        <f>IF(E80='Parametre - Agendové IS'!N93,"OK","Chyba počtu FTE")</f>
        <v>OK</v>
      </c>
      <c r="E80" s="604">
        <f t="shared" si="2"/>
        <v>0</v>
      </c>
      <c r="F80" s="260"/>
      <c r="G80" s="260"/>
      <c r="H80" s="260"/>
      <c r="I80" s="260"/>
    </row>
    <row r="81" spans="1:9" x14ac:dyDescent="0.25">
      <c r="A81" s="794"/>
      <c r="B81" s="797"/>
      <c r="C81" s="191" t="s">
        <v>32</v>
      </c>
      <c r="D81" s="603" t="str">
        <f>IF(E81='Parametre - Agendové IS'!N94,"OK","Chyba počtu FTE")</f>
        <v>OK</v>
      </c>
      <c r="E81" s="604">
        <f t="shared" si="2"/>
        <v>0</v>
      </c>
      <c r="F81" s="260"/>
      <c r="G81" s="260"/>
      <c r="H81" s="260"/>
      <c r="I81" s="260"/>
    </row>
    <row r="82" spans="1:9" x14ac:dyDescent="0.25">
      <c r="A82" s="794"/>
      <c r="B82" s="797"/>
      <c r="C82" s="191" t="s">
        <v>33</v>
      </c>
      <c r="D82" s="603" t="str">
        <f>IF(E82='Parametre - Agendové IS'!N95,"OK","Chyba počtu FTE")</f>
        <v>OK</v>
      </c>
      <c r="E82" s="604">
        <f t="shared" si="2"/>
        <v>0</v>
      </c>
      <c r="F82" s="260"/>
      <c r="G82" s="260"/>
      <c r="H82" s="260"/>
      <c r="I82" s="260"/>
    </row>
    <row r="83" spans="1:9" ht="15.75" thickBot="1" x14ac:dyDescent="0.3">
      <c r="A83" s="794"/>
      <c r="B83" s="797"/>
      <c r="C83" s="191" t="s">
        <v>34</v>
      </c>
      <c r="D83" s="605" t="str">
        <f>IF(E83='Parametre - Agendové IS'!N96,"OK","Chyba počtu FTE")</f>
        <v>OK</v>
      </c>
      <c r="E83" s="606">
        <f t="shared" si="2"/>
        <v>0</v>
      </c>
      <c r="F83" s="261"/>
      <c r="G83" s="261"/>
      <c r="H83" s="261"/>
      <c r="I83" s="261"/>
    </row>
    <row r="84" spans="1:9" x14ac:dyDescent="0.25">
      <c r="A84" s="793" t="s">
        <v>41</v>
      </c>
      <c r="B84" s="796" t="s">
        <v>37</v>
      </c>
      <c r="C84" s="194" t="s">
        <v>25</v>
      </c>
      <c r="D84" s="602" t="str">
        <f>IF(E84='Parametre - Agendové IS'!N6,"OK","Chyba počtu podaní")</f>
        <v>OK</v>
      </c>
      <c r="E84" s="607">
        <f t="shared" si="2"/>
        <v>0</v>
      </c>
      <c r="F84" s="259"/>
      <c r="G84" s="259"/>
      <c r="H84" s="259"/>
      <c r="I84" s="259"/>
    </row>
    <row r="85" spans="1:9" x14ac:dyDescent="0.25">
      <c r="A85" s="794"/>
      <c r="B85" s="797"/>
      <c r="C85" s="191" t="s">
        <v>26</v>
      </c>
      <c r="D85" s="603" t="str">
        <f>IF(E85='Parametre - Agendové IS'!N7,"OK","Chyba počtu podaní")</f>
        <v>OK</v>
      </c>
      <c r="E85" s="604">
        <f t="shared" si="2"/>
        <v>0</v>
      </c>
      <c r="F85" s="260"/>
      <c r="G85" s="260"/>
      <c r="H85" s="260"/>
      <c r="I85" s="260"/>
    </row>
    <row r="86" spans="1:9" x14ac:dyDescent="0.25">
      <c r="A86" s="794"/>
      <c r="B86" s="797"/>
      <c r="C86" s="191" t="s">
        <v>27</v>
      </c>
      <c r="D86" s="603" t="str">
        <f>IF(E86='Parametre - Agendové IS'!N8,"OK","Chyba počtu podaní")</f>
        <v>Chyba počtu podaní</v>
      </c>
      <c r="E86" s="604">
        <f t="shared" si="2"/>
        <v>0</v>
      </c>
      <c r="F86" s="260"/>
      <c r="G86" s="260"/>
      <c r="H86" s="260"/>
      <c r="I86" s="260"/>
    </row>
    <row r="87" spans="1:9" x14ac:dyDescent="0.25">
      <c r="A87" s="794"/>
      <c r="B87" s="797"/>
      <c r="C87" s="191" t="s">
        <v>28</v>
      </c>
      <c r="D87" s="603" t="str">
        <f>IF(E87='Parametre - Agendové IS'!N9,"OK","Chyba počtu podaní")</f>
        <v>Chyba počtu podaní</v>
      </c>
      <c r="E87" s="604">
        <f t="shared" si="2"/>
        <v>0</v>
      </c>
      <c r="F87" s="260"/>
      <c r="G87" s="260"/>
      <c r="H87" s="260"/>
      <c r="I87" s="260"/>
    </row>
    <row r="88" spans="1:9" x14ac:dyDescent="0.25">
      <c r="A88" s="794"/>
      <c r="B88" s="797"/>
      <c r="C88" s="191" t="s">
        <v>29</v>
      </c>
      <c r="D88" s="603" t="str">
        <f>IF(E88='Parametre - Agendové IS'!N10,"OK","Chyba počtu podaní")</f>
        <v>Chyba počtu podaní</v>
      </c>
      <c r="E88" s="604">
        <f t="shared" si="2"/>
        <v>0</v>
      </c>
      <c r="F88" s="260"/>
      <c r="G88" s="260"/>
      <c r="H88" s="260"/>
      <c r="I88" s="260"/>
    </row>
    <row r="89" spans="1:9" x14ac:dyDescent="0.25">
      <c r="A89" s="794"/>
      <c r="B89" s="797"/>
      <c r="C89" s="191" t="s">
        <v>30</v>
      </c>
      <c r="D89" s="603" t="str">
        <f>IF(E89='Parametre - Agendové IS'!N11,"OK","Chyba počtu podaní")</f>
        <v>Chyba počtu podaní</v>
      </c>
      <c r="E89" s="604">
        <f t="shared" si="2"/>
        <v>0</v>
      </c>
      <c r="F89" s="260"/>
      <c r="G89" s="260"/>
      <c r="H89" s="260"/>
      <c r="I89" s="260"/>
    </row>
    <row r="90" spans="1:9" x14ac:dyDescent="0.25">
      <c r="A90" s="794"/>
      <c r="B90" s="797"/>
      <c r="C90" s="191" t="s">
        <v>31</v>
      </c>
      <c r="D90" s="603" t="str">
        <f>IF(E90='Parametre - Agendové IS'!N12,"OK","Chyba počtu podaní")</f>
        <v>Chyba počtu podaní</v>
      </c>
      <c r="E90" s="604">
        <f t="shared" si="2"/>
        <v>0</v>
      </c>
      <c r="F90" s="260"/>
      <c r="G90" s="260"/>
      <c r="H90" s="260"/>
      <c r="I90" s="260"/>
    </row>
    <row r="91" spans="1:9" x14ac:dyDescent="0.25">
      <c r="A91" s="794"/>
      <c r="B91" s="797"/>
      <c r="C91" s="191" t="s">
        <v>32</v>
      </c>
      <c r="D91" s="603" t="str">
        <f>IF(E91='Parametre - Agendové IS'!N13,"OK","Chyba počtu podaní")</f>
        <v>Chyba počtu podaní</v>
      </c>
      <c r="E91" s="604">
        <f t="shared" si="2"/>
        <v>0</v>
      </c>
      <c r="F91" s="260"/>
      <c r="G91" s="260"/>
      <c r="H91" s="260"/>
      <c r="I91" s="260"/>
    </row>
    <row r="92" spans="1:9" x14ac:dyDescent="0.25">
      <c r="A92" s="794"/>
      <c r="B92" s="797"/>
      <c r="C92" s="191" t="s">
        <v>33</v>
      </c>
      <c r="D92" s="603" t="str">
        <f>IF(E92='Parametre - Agendové IS'!N14,"OK","Chyba počtu podaní")</f>
        <v>Chyba počtu podaní</v>
      </c>
      <c r="E92" s="604">
        <f t="shared" si="2"/>
        <v>0</v>
      </c>
      <c r="F92" s="260"/>
      <c r="G92" s="260"/>
      <c r="H92" s="260"/>
      <c r="I92" s="260"/>
    </row>
    <row r="93" spans="1:9" ht="15.75" thickBot="1" x14ac:dyDescent="0.3">
      <c r="A93" s="795"/>
      <c r="B93" s="798"/>
      <c r="C93" s="192" t="s">
        <v>34</v>
      </c>
      <c r="D93" s="603" t="str">
        <f>IF(E93='Parametre - Agendové IS'!N15,"OK","Chyba počtu podaní")</f>
        <v>Chyba počtu podaní</v>
      </c>
      <c r="E93" s="604">
        <f t="shared" si="2"/>
        <v>0</v>
      </c>
      <c r="F93" s="260"/>
      <c r="G93" s="260"/>
      <c r="H93" s="260"/>
      <c r="I93" s="260"/>
    </row>
    <row r="94" spans="1:9" x14ac:dyDescent="0.25">
      <c r="A94" s="793" t="s">
        <v>39</v>
      </c>
      <c r="B94" s="796" t="s">
        <v>13</v>
      </c>
      <c r="C94" s="194" t="s">
        <v>25</v>
      </c>
      <c r="D94" s="602" t="str">
        <f>IF(E94='Parametre - Agendové IS'!N127,"OK","Chyba")</f>
        <v>OK</v>
      </c>
      <c r="E94" s="607">
        <f t="shared" si="2"/>
        <v>0</v>
      </c>
      <c r="F94" s="259"/>
      <c r="G94" s="259"/>
      <c r="H94" s="259"/>
      <c r="I94" s="259"/>
    </row>
    <row r="95" spans="1:9" x14ac:dyDescent="0.25">
      <c r="A95" s="794"/>
      <c r="B95" s="797"/>
      <c r="C95" s="191" t="s">
        <v>26</v>
      </c>
      <c r="D95" s="603" t="str">
        <f>IF(E95='Parametre - Agendové IS'!N128,"OK","Chyba")</f>
        <v>OK</v>
      </c>
      <c r="E95" s="604">
        <f t="shared" si="2"/>
        <v>0</v>
      </c>
      <c r="F95" s="260"/>
      <c r="G95" s="260"/>
      <c r="H95" s="260"/>
      <c r="I95" s="260"/>
    </row>
    <row r="96" spans="1:9" x14ac:dyDescent="0.25">
      <c r="A96" s="794"/>
      <c r="B96" s="797"/>
      <c r="C96" s="191" t="s">
        <v>27</v>
      </c>
      <c r="D96" s="603" t="str">
        <f>IF(E96='Parametre - Agendové IS'!N129,"OK","Chyba")</f>
        <v>OK</v>
      </c>
      <c r="E96" s="604">
        <f t="shared" si="2"/>
        <v>0</v>
      </c>
      <c r="F96" s="260"/>
      <c r="G96" s="260"/>
      <c r="H96" s="260"/>
      <c r="I96" s="260"/>
    </row>
    <row r="97" spans="1:9" x14ac:dyDescent="0.25">
      <c r="A97" s="794"/>
      <c r="B97" s="797"/>
      <c r="C97" s="191" t="s">
        <v>28</v>
      </c>
      <c r="D97" s="603" t="str">
        <f>IF(E97='Parametre - Agendové IS'!N130,"OK","Chyba")</f>
        <v>OK</v>
      </c>
      <c r="E97" s="604">
        <f t="shared" si="2"/>
        <v>0</v>
      </c>
      <c r="F97" s="260"/>
      <c r="G97" s="260"/>
      <c r="H97" s="260"/>
      <c r="I97" s="260"/>
    </row>
    <row r="98" spans="1:9" x14ac:dyDescent="0.25">
      <c r="A98" s="794"/>
      <c r="B98" s="797"/>
      <c r="C98" s="191" t="s">
        <v>29</v>
      </c>
      <c r="D98" s="603" t="str">
        <f>IF(E98='Parametre - Agendové IS'!N131,"OK","Chyba")</f>
        <v>OK</v>
      </c>
      <c r="E98" s="604">
        <f t="shared" si="2"/>
        <v>0</v>
      </c>
      <c r="F98" s="260"/>
      <c r="G98" s="260"/>
      <c r="H98" s="260"/>
      <c r="I98" s="260"/>
    </row>
    <row r="99" spans="1:9" x14ac:dyDescent="0.25">
      <c r="A99" s="794"/>
      <c r="B99" s="797"/>
      <c r="C99" s="191" t="s">
        <v>30</v>
      </c>
      <c r="D99" s="603" t="str">
        <f>IF(E99='Parametre - Agendové IS'!N132,"OK","Chyba")</f>
        <v>OK</v>
      </c>
      <c r="E99" s="604">
        <f t="shared" si="2"/>
        <v>0</v>
      </c>
      <c r="F99" s="260"/>
      <c r="G99" s="260"/>
      <c r="H99" s="260"/>
      <c r="I99" s="260"/>
    </row>
    <row r="100" spans="1:9" x14ac:dyDescent="0.25">
      <c r="A100" s="794"/>
      <c r="B100" s="797"/>
      <c r="C100" s="191" t="s">
        <v>31</v>
      </c>
      <c r="D100" s="603" t="str">
        <f>IF(E100='Parametre - Agendové IS'!N133,"OK","Chyba")</f>
        <v>OK</v>
      </c>
      <c r="E100" s="604">
        <f t="shared" si="2"/>
        <v>0</v>
      </c>
      <c r="F100" s="260"/>
      <c r="G100" s="260"/>
      <c r="H100" s="260"/>
      <c r="I100" s="260"/>
    </row>
    <row r="101" spans="1:9" x14ac:dyDescent="0.25">
      <c r="A101" s="794"/>
      <c r="B101" s="797"/>
      <c r="C101" s="191" t="s">
        <v>32</v>
      </c>
      <c r="D101" s="603" t="str">
        <f>IF(E101='Parametre - Agendové IS'!N134,"OK","Chyba")</f>
        <v>OK</v>
      </c>
      <c r="E101" s="604">
        <f t="shared" si="2"/>
        <v>0</v>
      </c>
      <c r="F101" s="260"/>
      <c r="G101" s="260"/>
      <c r="H101" s="260"/>
      <c r="I101" s="260"/>
    </row>
    <row r="102" spans="1:9" x14ac:dyDescent="0.25">
      <c r="A102" s="794"/>
      <c r="B102" s="797"/>
      <c r="C102" s="191" t="s">
        <v>33</v>
      </c>
      <c r="D102" s="603" t="str">
        <f>IF(E102='Parametre - Agendové IS'!N135,"OK","Chyba")</f>
        <v>OK</v>
      </c>
      <c r="E102" s="604">
        <f t="shared" si="2"/>
        <v>0</v>
      </c>
      <c r="F102" s="260"/>
      <c r="G102" s="260"/>
      <c r="H102" s="260"/>
      <c r="I102" s="260"/>
    </row>
    <row r="103" spans="1:9" ht="15.75" thickBot="1" x14ac:dyDescent="0.3">
      <c r="A103" s="795"/>
      <c r="B103" s="798"/>
      <c r="C103" s="192" t="s">
        <v>34</v>
      </c>
      <c r="D103" s="603" t="str">
        <f>IF(E103='Parametre - Agendové IS'!N136,"OK","Chyba")</f>
        <v>OK</v>
      </c>
      <c r="E103" s="604">
        <f t="shared" si="2"/>
        <v>0</v>
      </c>
      <c r="F103" s="260"/>
      <c r="G103" s="260"/>
      <c r="H103" s="260"/>
      <c r="I103" s="260"/>
    </row>
    <row r="106" spans="1:9" ht="15.75" thickBot="1" x14ac:dyDescent="0.3"/>
    <row r="107" spans="1:9" x14ac:dyDescent="0.25">
      <c r="A107" s="799" t="str">
        <f>'Parametre - Agendové IS'!P1</f>
        <v>Modul N</v>
      </c>
      <c r="B107" s="800"/>
      <c r="C107" s="801"/>
      <c r="D107" s="805" t="s">
        <v>109</v>
      </c>
      <c r="E107" s="806"/>
      <c r="F107" s="372" t="s">
        <v>177</v>
      </c>
      <c r="G107" s="372" t="s">
        <v>178</v>
      </c>
      <c r="H107" s="372" t="s">
        <v>179</v>
      </c>
      <c r="I107" s="372" t="s">
        <v>181</v>
      </c>
    </row>
    <row r="108" spans="1:9" ht="15.75" thickBot="1" x14ac:dyDescent="0.3">
      <c r="A108" s="802"/>
      <c r="B108" s="803"/>
      <c r="C108" s="804"/>
      <c r="D108" s="599" t="s">
        <v>384</v>
      </c>
      <c r="E108" s="600" t="s">
        <v>180</v>
      </c>
      <c r="F108" s="193" t="s">
        <v>180</v>
      </c>
      <c r="G108" s="193" t="s">
        <v>180</v>
      </c>
      <c r="H108" s="193" t="s">
        <v>180</v>
      </c>
      <c r="I108" s="193" t="s">
        <v>180</v>
      </c>
    </row>
    <row r="109" spans="1:9" x14ac:dyDescent="0.25">
      <c r="A109" s="793" t="s">
        <v>43</v>
      </c>
      <c r="B109" s="796" t="s">
        <v>198</v>
      </c>
      <c r="C109" s="194" t="s">
        <v>25</v>
      </c>
      <c r="D109" s="601" t="str">
        <f>IF(E109='Parametre - Agendové IS'!Q87,"OK","Chyba počtu FTE")</f>
        <v>Chyba počtu FTE</v>
      </c>
      <c r="E109" s="602">
        <f t="shared" ref="E109:E138" si="3">F109+G109+H109+I109</f>
        <v>0</v>
      </c>
      <c r="F109" s="259"/>
      <c r="G109" s="259"/>
      <c r="H109" s="259"/>
      <c r="I109" s="259"/>
    </row>
    <row r="110" spans="1:9" x14ac:dyDescent="0.25">
      <c r="A110" s="794"/>
      <c r="B110" s="797"/>
      <c r="C110" s="191" t="s">
        <v>26</v>
      </c>
      <c r="D110" s="603" t="str">
        <f>IF(E110='Parametre - Agendové IS'!Q88,"OK","Chyba počtu FTE")</f>
        <v>Chyba počtu FTE</v>
      </c>
      <c r="E110" s="604">
        <f t="shared" si="3"/>
        <v>0</v>
      </c>
      <c r="F110" s="260"/>
      <c r="G110" s="260"/>
      <c r="H110" s="260"/>
      <c r="I110" s="260"/>
    </row>
    <row r="111" spans="1:9" x14ac:dyDescent="0.25">
      <c r="A111" s="794"/>
      <c r="B111" s="797"/>
      <c r="C111" s="191" t="s">
        <v>27</v>
      </c>
      <c r="D111" s="603" t="str">
        <f>IF(E111='Parametre - Agendové IS'!Q89,"OK","Chyba počtu FTE")</f>
        <v>Chyba počtu FTE</v>
      </c>
      <c r="E111" s="604">
        <f t="shared" si="3"/>
        <v>0</v>
      </c>
      <c r="F111" s="260"/>
      <c r="G111" s="260"/>
      <c r="H111" s="260"/>
      <c r="I111" s="260"/>
    </row>
    <row r="112" spans="1:9" x14ac:dyDescent="0.25">
      <c r="A112" s="794"/>
      <c r="B112" s="797"/>
      <c r="C112" s="191" t="s">
        <v>28</v>
      </c>
      <c r="D112" s="603" t="str">
        <f>IF(E112='Parametre - Agendové IS'!Q90,"OK","Chyba počtu FTE")</f>
        <v>Chyba počtu FTE</v>
      </c>
      <c r="E112" s="604">
        <f t="shared" si="3"/>
        <v>0</v>
      </c>
      <c r="F112" s="260"/>
      <c r="G112" s="260"/>
      <c r="H112" s="260"/>
      <c r="I112" s="260"/>
    </row>
    <row r="113" spans="1:9" x14ac:dyDescent="0.25">
      <c r="A113" s="794"/>
      <c r="B113" s="797"/>
      <c r="C113" s="191" t="s">
        <v>29</v>
      </c>
      <c r="D113" s="603" t="str">
        <f>IF(E113='Parametre - Agendové IS'!Q91,"OK","Chyba počtu FTE")</f>
        <v>Chyba počtu FTE</v>
      </c>
      <c r="E113" s="604">
        <f t="shared" si="3"/>
        <v>0</v>
      </c>
      <c r="F113" s="260"/>
      <c r="G113" s="260"/>
      <c r="H113" s="260"/>
      <c r="I113" s="260"/>
    </row>
    <row r="114" spans="1:9" x14ac:dyDescent="0.25">
      <c r="A114" s="794"/>
      <c r="B114" s="797"/>
      <c r="C114" s="191" t="s">
        <v>30</v>
      </c>
      <c r="D114" s="603" t="str">
        <f>IF(E114='Parametre - Agendové IS'!Q92,"OK","Chyba počtu FTE")</f>
        <v>Chyba počtu FTE</v>
      </c>
      <c r="E114" s="604">
        <f t="shared" si="3"/>
        <v>0</v>
      </c>
      <c r="F114" s="260"/>
      <c r="G114" s="260"/>
      <c r="H114" s="260"/>
      <c r="I114" s="260"/>
    </row>
    <row r="115" spans="1:9" x14ac:dyDescent="0.25">
      <c r="A115" s="794"/>
      <c r="B115" s="797"/>
      <c r="C115" s="191" t="s">
        <v>31</v>
      </c>
      <c r="D115" s="603" t="str">
        <f>IF(E115='Parametre - Agendové IS'!Q93,"OK","Chyba počtu FTE")</f>
        <v>Chyba počtu FTE</v>
      </c>
      <c r="E115" s="604">
        <f t="shared" si="3"/>
        <v>0</v>
      </c>
      <c r="F115" s="260"/>
      <c r="G115" s="260"/>
      <c r="H115" s="260"/>
      <c r="I115" s="260"/>
    </row>
    <row r="116" spans="1:9" x14ac:dyDescent="0.25">
      <c r="A116" s="794"/>
      <c r="B116" s="797"/>
      <c r="C116" s="191" t="s">
        <v>32</v>
      </c>
      <c r="D116" s="603" t="str">
        <f>IF(E116='Parametre - Agendové IS'!Q94,"OK","Chyba počtu FTE")</f>
        <v>Chyba počtu FTE</v>
      </c>
      <c r="E116" s="604">
        <f t="shared" si="3"/>
        <v>0</v>
      </c>
      <c r="F116" s="260"/>
      <c r="G116" s="260"/>
      <c r="H116" s="260"/>
      <c r="I116" s="260"/>
    </row>
    <row r="117" spans="1:9" x14ac:dyDescent="0.25">
      <c r="A117" s="794"/>
      <c r="B117" s="797"/>
      <c r="C117" s="191" t="s">
        <v>33</v>
      </c>
      <c r="D117" s="603" t="str">
        <f>IF(E117='Parametre - Agendové IS'!Q95,"OK","Chyba počtu FTE")</f>
        <v>Chyba počtu FTE</v>
      </c>
      <c r="E117" s="604">
        <f t="shared" si="3"/>
        <v>0</v>
      </c>
      <c r="F117" s="260"/>
      <c r="G117" s="260"/>
      <c r="H117" s="260"/>
      <c r="I117" s="260"/>
    </row>
    <row r="118" spans="1:9" ht="15.75" thickBot="1" x14ac:dyDescent="0.3">
      <c r="A118" s="794"/>
      <c r="B118" s="797"/>
      <c r="C118" s="191" t="s">
        <v>34</v>
      </c>
      <c r="D118" s="605" t="str">
        <f>IF(E118='Parametre - Agendové IS'!Q96,"OK","Chyba počtu FTE")</f>
        <v>Chyba počtu FTE</v>
      </c>
      <c r="E118" s="606">
        <f t="shared" si="3"/>
        <v>0</v>
      </c>
      <c r="F118" s="261"/>
      <c r="G118" s="261"/>
      <c r="H118" s="261"/>
      <c r="I118" s="261"/>
    </row>
    <row r="119" spans="1:9" x14ac:dyDescent="0.25">
      <c r="A119" s="793" t="s">
        <v>41</v>
      </c>
      <c r="B119" s="796" t="s">
        <v>37</v>
      </c>
      <c r="C119" s="194" t="s">
        <v>25</v>
      </c>
      <c r="D119" s="602" t="str">
        <f>IF(E119='Parametre - Agendové IS'!Q6,"OK","Chyba počtu podaní")</f>
        <v>Chyba počtu podaní</v>
      </c>
      <c r="E119" s="607">
        <f t="shared" si="3"/>
        <v>0</v>
      </c>
      <c r="F119" s="259"/>
      <c r="G119" s="259"/>
      <c r="H119" s="259"/>
      <c r="I119" s="259"/>
    </row>
    <row r="120" spans="1:9" x14ac:dyDescent="0.25">
      <c r="A120" s="794"/>
      <c r="B120" s="797"/>
      <c r="C120" s="191" t="s">
        <v>26</v>
      </c>
      <c r="D120" s="603" t="str">
        <f>IF(E120='Parametre - Agendové IS'!Q7,"OK","Chyba počtu podaní")</f>
        <v>Chyba počtu podaní</v>
      </c>
      <c r="E120" s="604">
        <f t="shared" si="3"/>
        <v>0</v>
      </c>
      <c r="F120" s="260"/>
      <c r="G120" s="260"/>
      <c r="H120" s="260"/>
      <c r="I120" s="260"/>
    </row>
    <row r="121" spans="1:9" x14ac:dyDescent="0.25">
      <c r="A121" s="794"/>
      <c r="B121" s="797"/>
      <c r="C121" s="191" t="s">
        <v>27</v>
      </c>
      <c r="D121" s="603" t="str">
        <f>IF(E121='Parametre - Agendové IS'!Q8,"OK","Chyba počtu podaní")</f>
        <v>Chyba počtu podaní</v>
      </c>
      <c r="E121" s="604">
        <f t="shared" si="3"/>
        <v>0</v>
      </c>
      <c r="F121" s="260"/>
      <c r="G121" s="260"/>
      <c r="H121" s="260"/>
      <c r="I121" s="260"/>
    </row>
    <row r="122" spans="1:9" x14ac:dyDescent="0.25">
      <c r="A122" s="794"/>
      <c r="B122" s="797"/>
      <c r="C122" s="191" t="s">
        <v>28</v>
      </c>
      <c r="D122" s="603" t="str">
        <f>IF(E122='Parametre - Agendové IS'!Q9,"OK","Chyba počtu podaní")</f>
        <v>Chyba počtu podaní</v>
      </c>
      <c r="E122" s="604">
        <f t="shared" si="3"/>
        <v>0</v>
      </c>
      <c r="F122" s="260"/>
      <c r="G122" s="260"/>
      <c r="H122" s="260"/>
      <c r="I122" s="260"/>
    </row>
    <row r="123" spans="1:9" x14ac:dyDescent="0.25">
      <c r="A123" s="794"/>
      <c r="B123" s="797"/>
      <c r="C123" s="191" t="s">
        <v>29</v>
      </c>
      <c r="D123" s="603" t="str">
        <f>IF(E123='Parametre - Agendové IS'!Q10,"OK","Chyba počtu podaní")</f>
        <v>Chyba počtu podaní</v>
      </c>
      <c r="E123" s="604">
        <f t="shared" si="3"/>
        <v>0</v>
      </c>
      <c r="F123" s="260"/>
      <c r="G123" s="260"/>
      <c r="H123" s="260"/>
      <c r="I123" s="260"/>
    </row>
    <row r="124" spans="1:9" x14ac:dyDescent="0.25">
      <c r="A124" s="794"/>
      <c r="B124" s="797"/>
      <c r="C124" s="191" t="s">
        <v>30</v>
      </c>
      <c r="D124" s="603" t="str">
        <f>IF(E124='Parametre - Agendové IS'!Q11,"OK","Chyba počtu podaní")</f>
        <v>Chyba počtu podaní</v>
      </c>
      <c r="E124" s="604">
        <f t="shared" si="3"/>
        <v>0</v>
      </c>
      <c r="F124" s="260"/>
      <c r="G124" s="260"/>
      <c r="H124" s="260"/>
      <c r="I124" s="260"/>
    </row>
    <row r="125" spans="1:9" x14ac:dyDescent="0.25">
      <c r="A125" s="794"/>
      <c r="B125" s="797"/>
      <c r="C125" s="191" t="s">
        <v>31</v>
      </c>
      <c r="D125" s="603" t="str">
        <f>IF(E125='Parametre - Agendové IS'!Q12,"OK","Chyba počtu podaní")</f>
        <v>Chyba počtu podaní</v>
      </c>
      <c r="E125" s="604">
        <f t="shared" si="3"/>
        <v>0</v>
      </c>
      <c r="F125" s="260"/>
      <c r="G125" s="260"/>
      <c r="H125" s="260"/>
      <c r="I125" s="260"/>
    </row>
    <row r="126" spans="1:9" x14ac:dyDescent="0.25">
      <c r="A126" s="794"/>
      <c r="B126" s="797"/>
      <c r="C126" s="191" t="s">
        <v>32</v>
      </c>
      <c r="D126" s="603" t="str">
        <f>IF(E126='Parametre - Agendové IS'!Q13,"OK","Chyba počtu podaní")</f>
        <v>Chyba počtu podaní</v>
      </c>
      <c r="E126" s="604">
        <f t="shared" si="3"/>
        <v>0</v>
      </c>
      <c r="F126" s="260"/>
      <c r="G126" s="260"/>
      <c r="H126" s="260"/>
      <c r="I126" s="260"/>
    </row>
    <row r="127" spans="1:9" x14ac:dyDescent="0.25">
      <c r="A127" s="794"/>
      <c r="B127" s="797"/>
      <c r="C127" s="191" t="s">
        <v>33</v>
      </c>
      <c r="D127" s="603" t="str">
        <f>IF(E127='Parametre - Agendové IS'!Q14,"OK","Chyba počtu podaní")</f>
        <v>Chyba počtu podaní</v>
      </c>
      <c r="E127" s="604">
        <f t="shared" si="3"/>
        <v>0</v>
      </c>
      <c r="F127" s="260"/>
      <c r="G127" s="260"/>
      <c r="H127" s="260"/>
      <c r="I127" s="260"/>
    </row>
    <row r="128" spans="1:9" ht="15.75" thickBot="1" x14ac:dyDescent="0.3">
      <c r="A128" s="795"/>
      <c r="B128" s="798"/>
      <c r="C128" s="192" t="s">
        <v>34</v>
      </c>
      <c r="D128" s="603" t="str">
        <f>IF(E128='Parametre - Agendové IS'!Q15,"OK","Chyba počtu podaní")</f>
        <v>Chyba počtu podaní</v>
      </c>
      <c r="E128" s="604">
        <f t="shared" si="3"/>
        <v>0</v>
      </c>
      <c r="F128" s="260"/>
      <c r="G128" s="260"/>
      <c r="H128" s="260"/>
      <c r="I128" s="260"/>
    </row>
    <row r="129" spans="1:9" x14ac:dyDescent="0.25">
      <c r="A129" s="793" t="s">
        <v>39</v>
      </c>
      <c r="B129" s="796" t="s">
        <v>13</v>
      </c>
      <c r="C129" s="194" t="s">
        <v>25</v>
      </c>
      <c r="D129" s="602" t="str">
        <f>IF(E129='Parametre - Agendové IS'!Q127,"OK","Chyba")</f>
        <v>OK</v>
      </c>
      <c r="E129" s="607">
        <f t="shared" si="3"/>
        <v>0</v>
      </c>
      <c r="F129" s="259"/>
      <c r="G129" s="259"/>
      <c r="H129" s="259"/>
      <c r="I129" s="259"/>
    </row>
    <row r="130" spans="1:9" x14ac:dyDescent="0.25">
      <c r="A130" s="794"/>
      <c r="B130" s="797"/>
      <c r="C130" s="191" t="s">
        <v>26</v>
      </c>
      <c r="D130" s="603" t="str">
        <f>IF(E130='Parametre - Agendové IS'!Q128,"OK","Chyba")</f>
        <v>OK</v>
      </c>
      <c r="E130" s="604">
        <f t="shared" si="3"/>
        <v>0</v>
      </c>
      <c r="F130" s="260"/>
      <c r="G130" s="260"/>
      <c r="H130" s="260"/>
      <c r="I130" s="260"/>
    </row>
    <row r="131" spans="1:9" x14ac:dyDescent="0.25">
      <c r="A131" s="794"/>
      <c r="B131" s="797"/>
      <c r="C131" s="191" t="s">
        <v>27</v>
      </c>
      <c r="D131" s="603" t="str">
        <f>IF(E131='Parametre - Agendové IS'!Q129,"OK","Chyba")</f>
        <v>OK</v>
      </c>
      <c r="E131" s="604">
        <f t="shared" si="3"/>
        <v>0</v>
      </c>
      <c r="F131" s="260"/>
      <c r="G131" s="260"/>
      <c r="H131" s="260"/>
      <c r="I131" s="260"/>
    </row>
    <row r="132" spans="1:9" x14ac:dyDescent="0.25">
      <c r="A132" s="794"/>
      <c r="B132" s="797"/>
      <c r="C132" s="191" t="s">
        <v>28</v>
      </c>
      <c r="D132" s="603" t="str">
        <f>IF(E132='Parametre - Agendové IS'!Q130,"OK","Chyba")</f>
        <v>OK</v>
      </c>
      <c r="E132" s="604">
        <f t="shared" si="3"/>
        <v>0</v>
      </c>
      <c r="F132" s="260"/>
      <c r="G132" s="260"/>
      <c r="H132" s="260"/>
      <c r="I132" s="260"/>
    </row>
    <row r="133" spans="1:9" x14ac:dyDescent="0.25">
      <c r="A133" s="794"/>
      <c r="B133" s="797"/>
      <c r="C133" s="191" t="s">
        <v>29</v>
      </c>
      <c r="D133" s="603" t="str">
        <f>IF(E133='Parametre - Agendové IS'!Q131,"OK","Chyba")</f>
        <v>OK</v>
      </c>
      <c r="E133" s="604">
        <f t="shared" si="3"/>
        <v>0</v>
      </c>
      <c r="F133" s="260"/>
      <c r="G133" s="260"/>
      <c r="H133" s="260"/>
      <c r="I133" s="260"/>
    </row>
    <row r="134" spans="1:9" x14ac:dyDescent="0.25">
      <c r="A134" s="794"/>
      <c r="B134" s="797"/>
      <c r="C134" s="191" t="s">
        <v>30</v>
      </c>
      <c r="D134" s="603" t="str">
        <f>IF(E134='Parametre - Agendové IS'!Q132,"OK","Chyba")</f>
        <v>OK</v>
      </c>
      <c r="E134" s="604">
        <f t="shared" si="3"/>
        <v>0</v>
      </c>
      <c r="F134" s="260"/>
      <c r="G134" s="260"/>
      <c r="H134" s="260"/>
      <c r="I134" s="260"/>
    </row>
    <row r="135" spans="1:9" x14ac:dyDescent="0.25">
      <c r="A135" s="794"/>
      <c r="B135" s="797"/>
      <c r="C135" s="191" t="s">
        <v>31</v>
      </c>
      <c r="D135" s="603" t="str">
        <f>IF(E135='Parametre - Agendové IS'!Q133,"OK","Chyba")</f>
        <v>OK</v>
      </c>
      <c r="E135" s="604">
        <f t="shared" si="3"/>
        <v>0</v>
      </c>
      <c r="F135" s="260"/>
      <c r="G135" s="260"/>
      <c r="H135" s="260"/>
      <c r="I135" s="260"/>
    </row>
    <row r="136" spans="1:9" x14ac:dyDescent="0.25">
      <c r="A136" s="794"/>
      <c r="B136" s="797"/>
      <c r="C136" s="191" t="s">
        <v>32</v>
      </c>
      <c r="D136" s="603" t="str">
        <f>IF(E136='Parametre - Agendové IS'!Q134,"OK","Chyba")</f>
        <v>OK</v>
      </c>
      <c r="E136" s="604">
        <f t="shared" si="3"/>
        <v>0</v>
      </c>
      <c r="F136" s="260"/>
      <c r="G136" s="260"/>
      <c r="H136" s="260"/>
      <c r="I136" s="260"/>
    </row>
    <row r="137" spans="1:9" x14ac:dyDescent="0.25">
      <c r="A137" s="794"/>
      <c r="B137" s="797"/>
      <c r="C137" s="191" t="s">
        <v>33</v>
      </c>
      <c r="D137" s="603" t="str">
        <f>IF(E137='Parametre - Agendové IS'!Q135,"OK","Chyba")</f>
        <v>OK</v>
      </c>
      <c r="E137" s="604">
        <f t="shared" si="3"/>
        <v>0</v>
      </c>
      <c r="F137" s="260"/>
      <c r="G137" s="260"/>
      <c r="H137" s="260"/>
      <c r="I137" s="260"/>
    </row>
    <row r="138" spans="1:9" ht="15.75" thickBot="1" x14ac:dyDescent="0.3">
      <c r="A138" s="795"/>
      <c r="B138" s="798"/>
      <c r="C138" s="192" t="s">
        <v>34</v>
      </c>
      <c r="D138" s="603" t="str">
        <f>IF(E138='Parametre - Agendové IS'!Q136,"OK","Chyba")</f>
        <v>OK</v>
      </c>
      <c r="E138" s="604">
        <f t="shared" si="3"/>
        <v>0</v>
      </c>
      <c r="F138" s="260"/>
      <c r="G138" s="260"/>
      <c r="H138" s="260"/>
      <c r="I138" s="260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21</vt:i4>
      </vt:variant>
    </vt:vector>
  </HeadingPairs>
  <TitlesOfParts>
    <vt:vector size="21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Administrator</cp:lastModifiedBy>
  <cp:lastPrinted>2018-08-24T09:21:09Z</cp:lastPrinted>
  <dcterms:created xsi:type="dcterms:W3CDTF">2015-01-29T13:50:20Z</dcterms:created>
  <dcterms:modified xsi:type="dcterms:W3CDTF">2018-08-24T09:27:10Z</dcterms:modified>
</cp:coreProperties>
</file>